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true" localSheetId="0" name="_xlnm._FilterDatabase" vbProcedure="false">Arkusz1!$A$1:$H$3066</definedName>
    <definedName function="false" hidden="false" localSheetId="0" name="_xlnm._FilterDatabase_0" vbProcedure="false">Arkusz1!$A$1:$H$3058</definedName>
    <definedName function="false" hidden="false" localSheetId="0" name="_xlnm._FilterDatabase_0_0" vbProcedure="false">Arkusz1!$A$1:$H$3036</definedName>
    <definedName function="false" hidden="false" localSheetId="0" name="_xlnm._FilterDatabase_0_0_0" vbProcedure="false">Arkusz1!$A$1:$G$3036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<sst xmlns="http://schemas.openxmlformats.org/spreadsheetml/2006/main" count="15415" uniqueCount="1686">
  <si>
    <t xml:space="preserve">Typ formy</t>
  </si>
  <si>
    <t xml:space="preserve">Nazwa</t>
  </si>
  <si>
    <t xml:space="preserve">Data utworzenia</t>
  </si>
  <si>
    <t xml:space="preserve">Powierzchnia [ha]</t>
  </si>
  <si>
    <t xml:space="preserve">Pow. otuliny [ha]</t>
  </si>
  <si>
    <t xml:space="preserve">Akt o ustanowieniu</t>
  </si>
  <si>
    <t xml:space="preserve">Szczegóły w CRFOP</t>
  </si>
  <si>
    <r>
      <rPr>
        <b val="true"/>
        <sz val="10"/>
        <rFont val="Arial"/>
        <family val="2"/>
        <charset val="1"/>
      </rPr>
      <t xml:space="preserve">Gmina </t>
    </r>
    <r>
      <rPr>
        <b val="true"/>
        <sz val="10"/>
        <color rgb="FFC9211E"/>
        <rFont val="Arial"/>
        <family val="2"/>
        <charset val="1"/>
      </rPr>
      <t xml:space="preserve">(tylko pomniki przyrody i użytki ekologiczne!)</t>
    </r>
  </si>
  <si>
    <t xml:space="preserve">obszar chronionego krajobrazu</t>
  </si>
  <si>
    <t xml:space="preserve">Pradoliny Warszawsko-Berlińskiej</t>
  </si>
  <si>
    <t xml:space="preserve">1988-01-01</t>
  </si>
  <si>
    <t xml:space="preserve">36650.0000</t>
  </si>
  <si>
    <t xml:space="preserve">Uchwała Nr 163/XXVI/88 Wojewódzkiej Rady Narodowej w Płocku z dnia 9 czerwca 1988 r. w sprawie ochrony krajobrazu w województwie płockim </t>
  </si>
  <si>
    <t xml:space="preserve">Bolimowsko-Radziejowicki z doliną Środkowej Rawki (woj. mazowieckie)</t>
  </si>
  <si>
    <t xml:space="preserve">1986-01-01</t>
  </si>
  <si>
    <t xml:space="preserve">25753.0000</t>
  </si>
  <si>
    <t xml:space="preserve">Uchwała nr XIV/93/86 Wojewódzkiej Rady Narodowej w Skierniewicach z dnia 26 września 1986r. w sprawie utworzenia Bolimowskiego Parku Krajobrazowego i obszarów krajobrazu chronionego</t>
  </si>
  <si>
    <t xml:space="preserve">Górnej Rawki</t>
  </si>
  <si>
    <t xml:space="preserve">1986-11-14</t>
  </si>
  <si>
    <t xml:space="preserve">8400.0000</t>
  </si>
  <si>
    <t xml:space="preserve">Uchwała Nr XIV/93/86 Wojewódzkiej Rady Narodowej w Skierniewicach z dnia 26 września 1986 r. w sprawie utworzenia Bolimowskiego Parku Krajobrazowego i obszarów krajobrazu chronionego</t>
  </si>
  <si>
    <t xml:space="preserve">Mrogi i Mrożycy</t>
  </si>
  <si>
    <t xml:space="preserve">16660.0000</t>
  </si>
  <si>
    <t xml:space="preserve">Doliny Bzury</t>
  </si>
  <si>
    <t xml:space="preserve">1358.8500</t>
  </si>
  <si>
    <t xml:space="preserve">Uniejowski</t>
  </si>
  <si>
    <t xml:space="preserve">1986-02-15</t>
  </si>
  <si>
    <t xml:space="preserve">18000.0000</t>
  </si>
  <si>
    <t xml:space="preserve">Uchwała Nr 53 Wojewódzkiej Rady Narodowej w Koninie z dnia 29 stycznia 1986 r. w sprawie ustalenia obszarów krajobrazu chronionego na terenie województwa konińskiego i zasad korzystania z tych obszarów</t>
  </si>
  <si>
    <t xml:space="preserve">Nadwarciański</t>
  </si>
  <si>
    <t xml:space="preserve">1998-01-01</t>
  </si>
  <si>
    <t xml:space="preserve">29390.0000</t>
  </si>
  <si>
    <t xml:space="preserve">Rozporządzenie Wojewody Sieradzkiego z dnia 31 lipca 1998 r. w sprawie wyznaczenia obszarów chronionego krajobrazu oraz uznania za zespoły przyrodniczo-krajobrazowe</t>
  </si>
  <si>
    <t xml:space="preserve">Brąszewicki</t>
  </si>
  <si>
    <t xml:space="preserve">14204.0000</t>
  </si>
  <si>
    <t xml:space="preserve">Rozporządzenie Wojewody Sieradzkiego z dnia 31 lipca 1998 r. w sprawie wyznaczenia obszarów chronionego krajobrazu oraz uznania za zespoły przyrodniczo-krajobrazowe	</t>
  </si>
  <si>
    <t xml:space="preserve">Środkowej Grabi</t>
  </si>
  <si>
    <t xml:space="preserve">6558.0000</t>
  </si>
  <si>
    <t xml:space="preserve">Rozporządzenie Wojewody Sieradzkiego z dnia 31 lipca 1998 r. w sprawie wyznaczenia obszarów chronionego krajobrazu oraz uznania za zespoły przyrodniczo-krajobrazowe </t>
  </si>
  <si>
    <t xml:space="preserve">Puczniewski</t>
  </si>
  <si>
    <t xml:space="preserve">6276.0000</t>
  </si>
  <si>
    <t xml:space="preserve">Dolina rzeki Pilicy i Drzewiczki</t>
  </si>
  <si>
    <t xml:space="preserve">1983-01-01</t>
  </si>
  <si>
    <t xml:space="preserve">640063.3400</t>
  </si>
  <si>
    <t xml:space="preserve">Uchwała Nr XV/69/83 Wojewódzkiej Rady Narodowej w Radomiu z dnia 28 czerwca 1983 r. zmieniająca uchwałę nr VI/27/77 w sprawie planu przestrzennego zagospodarowania województwa radomskiego do 1990 r. oraz planu społeczno-gospodarczego rozwoju województwa w latach 1976-1980 i kierunków do roku 1985</t>
  </si>
  <si>
    <t xml:space="preserve">Konecko-Łopuszniański</t>
  </si>
  <si>
    <t xml:space="preserve">1995-11-21</t>
  </si>
  <si>
    <t xml:space="preserve">98287.0000</t>
  </si>
  <si>
    <t xml:space="preserve">Rozporządzenie Nr 12/95 Wojewody Kieleckiego z dnia 29 września 1995 r. w sprawie ustanowienia obszarów chronionego krajobrazu w województwie kieleckim</t>
  </si>
  <si>
    <t xml:space="preserve">Dolina Skrwy Lewej</t>
  </si>
  <si>
    <t xml:space="preserve">3422.0000</t>
  </si>
  <si>
    <t xml:space="preserve">Uchwała Nr 163/XXVI/88 Wojewódzkiej Rady Narodowej w Płocku z dnia 9 czerwca 1988 r. w sprawie ochrony krajobrazu w województwie płockim</t>
  </si>
  <si>
    <t xml:space="preserve">Dolina Przysowy</t>
  </si>
  <si>
    <t xml:space="preserve">5554.0000</t>
  </si>
  <si>
    <t xml:space="preserve">Dolina Prosny</t>
  </si>
  <si>
    <t xml:space="preserve">1997-02-11</t>
  </si>
  <si>
    <t xml:space="preserve">10602.4000</t>
  </si>
  <si>
    <t xml:space="preserve">Rozporządzenie Nr 65 Wojewody Kaliskiego z dnia 20 grudnia 1996 r. w sprawie ustalenia obszaru chronionego krajobrazu "Dolina rzeki Prosny" na terenie województwa kaliskiego i zasad korzystania z tego obszaru</t>
  </si>
  <si>
    <t xml:space="preserve">Włoszczowsko-Jędrzejowski</t>
  </si>
  <si>
    <t xml:space="preserve">70389.0000</t>
  </si>
  <si>
    <t xml:space="preserve">Przedborski (łódzkie)</t>
  </si>
  <si>
    <t xml:space="preserve">2002-08-04</t>
  </si>
  <si>
    <t xml:space="preserve">5417.0000</t>
  </si>
  <si>
    <t xml:space="preserve">Rozporządzenie Nr 9/2002 Wojewody Łódzkiego z dnia 9 lipca 2002 r. w sprawie określenia granic Przedborskiego Parku Krajobrazowego i ustanowienia planu ochrony Przedborskiego Parku Krajobrazowego w województwie łódzkim oraz wyznaczenia Przedborskiego Obszaru Chronionego Krajobrazu</t>
  </si>
  <si>
    <t xml:space="preserve">Doliny Widawki</t>
  </si>
  <si>
    <t xml:space="preserve">41390.0000</t>
  </si>
  <si>
    <t xml:space="preserve">Rozporządzenie Nr 59/2007 Wojewody Łódzkiego z dnia 4 grudnia 2007 r. w sprawie wyznaczenia Obszaru Chronionego Krajobrazu Doliny Widawki</t>
  </si>
  <si>
    <t xml:space="preserve">Bolimowsko-Radziejowicki z doliną Środkowej Rawki (woj. łódzkie)</t>
  </si>
  <si>
    <t xml:space="preserve">15256.6600</t>
  </si>
  <si>
    <t xml:space="preserve">Dolina Chojnatki</t>
  </si>
  <si>
    <t xml:space="preserve">1997-01-01</t>
  </si>
  <si>
    <t xml:space="preserve">519.0000</t>
  </si>
  <si>
    <t xml:space="preserve">Rozporządzenie Wojewody Skierniewickiego Nr 36 z dnia 28 lipca 1997 r. w sprawie wyznaczenia obszarów chronionego krajobrazu</t>
  </si>
  <si>
    <t xml:space="preserve">Dolina Miazgi pod Andrespolem</t>
  </si>
  <si>
    <t xml:space="preserve">2006-09-30</t>
  </si>
  <si>
    <t xml:space="preserve">142.8000</t>
  </si>
  <si>
    <t xml:space="preserve">Uchwała nr XLIX/466/06 rady Gminy Andrespol z dnia 8 czerwca 2006 r. w sprawie wyznaczenia obszaru chronionego krajobrazu "Dolina Miazgi pod Andrespolem"</t>
  </si>
  <si>
    <t xml:space="preserve">14724.0000</t>
  </si>
  <si>
    <t xml:space="preserve">Doliny Wolbórki</t>
  </si>
  <si>
    <t xml:space="preserve">2007-09-14</t>
  </si>
  <si>
    <t xml:space="preserve">2272.0000</t>
  </si>
  <si>
    <t xml:space="preserve">Rozporządzenie nr 41/2007 Wojewody Łódzkiego zdnia 21 sierpnia 2007 r. w sprawie ustanowienia Obszaru Chronionego Krajobrazu Doliny Wolbórki</t>
  </si>
  <si>
    <t xml:space="preserve">Piliczański Obszar Chronionego Krajobrazu</t>
  </si>
  <si>
    <t xml:space="preserve">2009-04-15</t>
  </si>
  <si>
    <t xml:space="preserve">43790.0000</t>
  </si>
  <si>
    <t xml:space="preserve">Rozporządzenie Nr 8/2009 Wojewody Łódzkiego z dnia 24 marca 2009 r. w sprawie wyznaczenia Piliczańskiego Obszaru Chronionego Krajobrazu</t>
  </si>
  <si>
    <t xml:space="preserve">Załęcze - Polesie</t>
  </si>
  <si>
    <t xml:space="preserve">2007-05-31</t>
  </si>
  <si>
    <t xml:space="preserve">353.0000</t>
  </si>
  <si>
    <t xml:space="preserve">Uchwała Nr VI/44/07 Rady Gminy Rudniki z dnia 20 marca 2007 r. w sprawie wyznaczenia obszaru chronionego krajobrazu</t>
  </si>
  <si>
    <t xml:space="preserve">Przedborski (świętokrzyskie)</t>
  </si>
  <si>
    <t xml:space="preserve">2002-12-07</t>
  </si>
  <si>
    <t xml:space="preserve">13044.0000</t>
  </si>
  <si>
    <t xml:space="preserve">ROZPORZĄDZENIE Nr 55/2002
WOJEWODY ŚWIĘTOKRZYSKIEGO
z dnia 18 listopada 2002 r.
w sprawie wyznaczenia Przedborskiego Obszaru Chronionego Krajobrazu.</t>
  </si>
  <si>
    <t xml:space="preserve">Otuliny Załęczańskiego Parku Krajobrazowego</t>
  </si>
  <si>
    <t xml:space="preserve">1995-10-12</t>
  </si>
  <si>
    <t xml:space="preserve">3897.0000</t>
  </si>
  <si>
    <t xml:space="preserve">Rozporządzenie Nr 21/95 Wojewody Częstochowskiego z dnia 7 września 1995 r. w sprawie utworzenia Załęczańskiego Parku Krajobrazowego w granicach województwa częstochowskiego</t>
  </si>
  <si>
    <t xml:space="preserve">park krajobrazowy</t>
  </si>
  <si>
    <t xml:space="preserve">Spalski Park Krajobrazowy</t>
  </si>
  <si>
    <t xml:space="preserve">1995-10-28</t>
  </si>
  <si>
    <t xml:space="preserve">13110.0000</t>
  </si>
  <si>
    <t xml:space="preserve">24134.0000</t>
  </si>
  <si>
    <t xml:space="preserve">Rozporządzenie  Nr 4/95 Wojewody Piotrkowskiego z dnia 5 października 1995 r. w sprawie utworzenia Spalskiego Parku Krajobrazowego        </t>
  </si>
  <si>
    <t xml:space="preserve">Bolimowski Park Krajobrazowy</t>
  </si>
  <si>
    <t xml:space="preserve">20512.3200</t>
  </si>
  <si>
    <t xml:space="preserve">3102.4300</t>
  </si>
  <si>
    <t xml:space="preserve">Park Krajobrazowy Międzyrzecza Warty i Widawki</t>
  </si>
  <si>
    <t xml:space="preserve">1989-09-14</t>
  </si>
  <si>
    <t xml:space="preserve">25330.0000</t>
  </si>
  <si>
    <t xml:space="preserve">Uchwała Wojewódzkiej Rady Narodowej w Sieradzu Nr VIII/45/89 z dnia 14 września 1989 r. w sprawie utworzenia Parku krajobrazowego Międzyrzecza Warty i Widawki</t>
  </si>
  <si>
    <t xml:space="preserve">Park Krajobrazowy Wzniesień Łódzkich</t>
  </si>
  <si>
    <t xml:space="preserve">1996-12-31</t>
  </si>
  <si>
    <t xml:space="preserve">11580.0000</t>
  </si>
  <si>
    <t xml:space="preserve">3083.0000</t>
  </si>
  <si>
    <t xml:space="preserve">Rozporządzenie Wojewody Łódzkiego i Wojewody Skierniewickiego z dnia 31 grudnia 1996, w sprawie utworzenia Parku Krajobrazowego Wzniesień Łódzkich</t>
  </si>
  <si>
    <t xml:space="preserve">Sulejowski Park Krajobrazowy</t>
  </si>
  <si>
    <t xml:space="preserve">1994-08-20</t>
  </si>
  <si>
    <t xml:space="preserve">17026.0000</t>
  </si>
  <si>
    <t xml:space="preserve">36411.0000</t>
  </si>
  <si>
    <t xml:space="preserve"> Rozporządzenie Nr 3/94  Wojewody Piotrkowskiego z dnia 21 lipca 1994 r. w sprawie utworzenia Sulejowskiego Parku Krajobrazowego                   </t>
  </si>
  <si>
    <t xml:space="preserve">Załęczański Park Krajobrazowy</t>
  </si>
  <si>
    <t xml:space="preserve">1978-01-05</t>
  </si>
  <si>
    <t xml:space="preserve">13520.0000</t>
  </si>
  <si>
    <t xml:space="preserve">8153.0000</t>
  </si>
  <si>
    <t xml:space="preserve">Uchwała Nr XIII/50/78 Wojewódzkiej Rady Narodowej w Sieradzu  z dnia 5 stycznia 1978 r. w sprawie utworzenia Załęczańskiego Parku Krajobrazowego                     </t>
  </si>
  <si>
    <t xml:space="preserve">Przedborski Park Krajobrazowy</t>
  </si>
  <si>
    <t xml:space="preserve">1988-05-27</t>
  </si>
  <si>
    <t xml:space="preserve">16550.1000</t>
  </si>
  <si>
    <t xml:space="preserve">18465.6000</t>
  </si>
  <si>
    <t xml:space="preserve">Uchwała Nr XXV/167/88 Wojewódzkiej Rady Narodowej w Piotrkowie Trybunalskim z dnia 27 maja 1988 r. w sprawie utworzenia Przedborskiego parku Krajobrazowego.</t>
  </si>
  <si>
    <t xml:space="preserve">1162.0000</t>
  </si>
  <si>
    <t xml:space="preserve">Uchwała Nr XIII/50/78 Wojewódzkiej Rady Narodowej w Sieradzu z dnia 5 stycznia 1978 r. w sprawie utworzenia Załęczańskiego Parku Krajobrazowego</t>
  </si>
  <si>
    <t xml:space="preserve">rezerwat przyrody</t>
  </si>
  <si>
    <t xml:space="preserve">Polesie Konstantynowskie</t>
  </si>
  <si>
    <t xml:space="preserve">1954-06-07</t>
  </si>
  <si>
    <t xml:space="preserve">9.8000</t>
  </si>
  <si>
    <t xml:space="preserve">Zarządzenie Ministra Leśnictwa z dnia 12 maja 1954 r. w sprawie uznania za rezerwat przyrody</t>
  </si>
  <si>
    <t xml:space="preserve">Doliska</t>
  </si>
  <si>
    <t xml:space="preserve">3.2700</t>
  </si>
  <si>
    <t xml:space="preserve">Zimna Woda</t>
  </si>
  <si>
    <t xml:space="preserve">1954-05-12</t>
  </si>
  <si>
    <t xml:space="preserve">5.9300</t>
  </si>
  <si>
    <t xml:space="preserve">Zarządzenie Ministra Leśnictwa i Przemysłu Drzewnego z dnia 12.05.1954 r.</t>
  </si>
  <si>
    <t xml:space="preserve">Popień</t>
  </si>
  <si>
    <t xml:space="preserve">8.0600</t>
  </si>
  <si>
    <t xml:space="preserve">Zarządzenie Ministra Leśnictwa  z dnia 12 maja 1954 r. w sprawie uznania za rezerwt przyrody</t>
  </si>
  <si>
    <t xml:space="preserve">Nowa Wieś</t>
  </si>
  <si>
    <t xml:space="preserve">1984-05-07</t>
  </si>
  <si>
    <t xml:space="preserve">117.6500</t>
  </si>
  <si>
    <t xml:space="preserve">Zarządzenie Ministra Leśnictwa i Przemysłu Drzewnego z dnia 30 października 1957 r. w sprawie uznania za rezerwat przyrody</t>
  </si>
  <si>
    <t xml:space="preserve">Wiączyń</t>
  </si>
  <si>
    <t xml:space="preserve">1958-03-15</t>
  </si>
  <si>
    <t xml:space="preserve">8.4000</t>
  </si>
  <si>
    <t xml:space="preserve">Zarządzenie Ministra Leśnictwa i Przemysłu Drzewnego z dnia 4 lutego 1958 r. w sprawie uznania za rezerwat przyrody</t>
  </si>
  <si>
    <t xml:space="preserve">Gałków</t>
  </si>
  <si>
    <t xml:space="preserve">1958-08-20</t>
  </si>
  <si>
    <t xml:space="preserve">57.8500</t>
  </si>
  <si>
    <t xml:space="preserve">Zarządzenie Ministra Leśnictwa i Przemysłu Drzewnego z dnia 18 lipca 1958 r. w sprawie uznania za rezerwat przyrody</t>
  </si>
  <si>
    <t xml:space="preserve">Trębaczew</t>
  </si>
  <si>
    <t xml:space="preserve">1958-09-15</t>
  </si>
  <si>
    <t xml:space="preserve">173.6600</t>
  </si>
  <si>
    <t xml:space="preserve">Zarządzenie nr 299 Ministra Leśnictwa i Przemysłu Drzewnego z dnia 15 września 1958 r. w sprawie uznania za rezerwat przyrody</t>
  </si>
  <si>
    <t xml:space="preserve">Spała</t>
  </si>
  <si>
    <t xml:space="preserve">1958-10-29</t>
  </si>
  <si>
    <t xml:space="preserve">102.7000</t>
  </si>
  <si>
    <t xml:space="preserve">Zarządzenie nr 321 Ministra Leśnictwa i Przemysłu Drzewnego z dnia 30 września 1958 r. w sprawie uznania za rezerwat przyrody</t>
  </si>
  <si>
    <t xml:space="preserve">Babsk</t>
  </si>
  <si>
    <t xml:space="preserve">10.9700</t>
  </si>
  <si>
    <t xml:space="preserve">Zarządzenie Ministra Leśnictwa i Przemysłu Drzewnego z dnia 1 października 1958 r. w sprawie uznania za rezerwat przyrody</t>
  </si>
  <si>
    <t xml:space="preserve">Jasień</t>
  </si>
  <si>
    <t xml:space="preserve">1958-12-04</t>
  </si>
  <si>
    <t xml:space="preserve">19.8100</t>
  </si>
  <si>
    <t xml:space="preserve">Zarządzenie Ministra Leśnictwa i Przemysłu Drzewnego z dnia 16 października 1958 r. w sprawie uznania za rezerwat przyrody</t>
  </si>
  <si>
    <t xml:space="preserve">Lubiaszów</t>
  </si>
  <si>
    <t xml:space="preserve">1958-12-12</t>
  </si>
  <si>
    <t xml:space="preserve">202.4900</t>
  </si>
  <si>
    <t xml:space="preserve">Zarządzenie Ministra Leśnictwa i Przemysłu Drzewnego z dnia 30 października 1958 r. w sprawie uznania za rezerwat przyrody</t>
  </si>
  <si>
    <t xml:space="preserve">Molenda</t>
  </si>
  <si>
    <t xml:space="preserve">1959-10-22</t>
  </si>
  <si>
    <t xml:space="preserve">147.1200</t>
  </si>
  <si>
    <t xml:space="preserve">Zarządzenie Ministra Leśnictwa i Przemysłu Drzewnego z dnia 14 września 1959 r. w sprawie uznania za rezerwat przyrody</t>
  </si>
  <si>
    <t xml:space="preserve">Wolbórka</t>
  </si>
  <si>
    <t xml:space="preserve">1959-10-29</t>
  </si>
  <si>
    <t xml:space="preserve">37.3900</t>
  </si>
  <si>
    <t xml:space="preserve">Zarządzenie Ministra Leśnictwa i Przemysłu Drzewnego z dnia 19 września 1959 r. w sprawie uznania za rezerwaty przyrody </t>
  </si>
  <si>
    <t xml:space="preserve">Jamno</t>
  </si>
  <si>
    <t xml:space="preserve">1960-02-13</t>
  </si>
  <si>
    <t xml:space="preserve">22.3500</t>
  </si>
  <si>
    <t xml:space="preserve">Zarządzenie Regionalnego Dyrektora Ochrony Środowiska w Łodzi z dnia 4 stycznia 2018 r. w sprawie ustanowienia planu ochrony dla rezerwatu przyrody „Jamno”</t>
  </si>
  <si>
    <t xml:space="preserve">Meszcze</t>
  </si>
  <si>
    <t xml:space="preserve">35.3200</t>
  </si>
  <si>
    <t xml:space="preserve">Zarządzenie Ministra Leśnictwa i Przemysłu Drzewnego z dnia 25 listopada 1959 r. w sprawie uznania za rezerwat przyrody</t>
  </si>
  <si>
    <t xml:space="preserve">Kobiele Wielkie</t>
  </si>
  <si>
    <t xml:space="preserve">1960-02-01</t>
  </si>
  <si>
    <t xml:space="preserve">63.4300</t>
  </si>
  <si>
    <t xml:space="preserve">Zarządzenie Ministra Leśnictwa i Przemysłu Drzewnego z dnia 1 lutego 1960 w sprawie uznania za rezerwat przyrody</t>
  </si>
  <si>
    <t xml:space="preserve">Niebieskie Źródła</t>
  </si>
  <si>
    <t xml:space="preserve">1961-09-22</t>
  </si>
  <si>
    <t xml:space="preserve">28.7000</t>
  </si>
  <si>
    <t xml:space="preserve">Zarządzenie nr 129 Ministra Leśnictwa i Przemysłu Drzewnego z dnia 27 lipca 1961 r. w sprawie uznania za rezerwat przyrody</t>
  </si>
  <si>
    <t xml:space="preserve">Jodły Oleśnickie</t>
  </si>
  <si>
    <t xml:space="preserve">1962-02-20</t>
  </si>
  <si>
    <t xml:space="preserve">11.7000</t>
  </si>
  <si>
    <t xml:space="preserve">Zrządzenie Ministra Leśnictwa i Przemysłu Drzewnego z dnia 31 stycznia 1962 r. w sprawie uznania za rezerwat przyrody</t>
  </si>
  <si>
    <t xml:space="preserve">Murowaniec</t>
  </si>
  <si>
    <t xml:space="preserve">1963-05-29</t>
  </si>
  <si>
    <t xml:space="preserve">42.1800</t>
  </si>
  <si>
    <t xml:space="preserve">Zarządzenie Ministra Leśnictwa i Przemysłu Drzewnego z dnia 26 kwietnia 1963 r. w sprawie uznania za rezerwat przyrody</t>
  </si>
  <si>
    <t xml:space="preserve">Jaźwiny</t>
  </si>
  <si>
    <t xml:space="preserve">1963-06-12</t>
  </si>
  <si>
    <t xml:space="preserve">3.8600</t>
  </si>
  <si>
    <t xml:space="preserve">Zarządzenie Ministra Leśnictwa i Przemysłu Drzewnego z dnia 10 maja 1963 r. w sprawie uznania za rezerwat przyrody</t>
  </si>
  <si>
    <t xml:space="preserve">Dębowiec</t>
  </si>
  <si>
    <t xml:space="preserve">1965-12-27</t>
  </si>
  <si>
    <t xml:space="preserve">47.1000</t>
  </si>
  <si>
    <t xml:space="preserve">Zarządzenie Ministra Leśnictwa i Przemysłu Drzewnego z dnia 20 października 1965 r. w sprawie uznania za rezerwat przyrody</t>
  </si>
  <si>
    <t xml:space="preserve">Długosz Królewski w Węglewicach</t>
  </si>
  <si>
    <t xml:space="preserve">1966-01-03</t>
  </si>
  <si>
    <t xml:space="preserve">3.2600</t>
  </si>
  <si>
    <t xml:space="preserve">Zarządzenie Ministra Leśnictwa i Przemysłu Drzewnego z dnia 23 października 1965 r. w sprawie uznania za rezerwat przyrody</t>
  </si>
  <si>
    <t xml:space="preserve">Góra Chełmo</t>
  </si>
  <si>
    <t xml:space="preserve">1968-01-13</t>
  </si>
  <si>
    <t xml:space="preserve">41.3100</t>
  </si>
  <si>
    <t xml:space="preserve">Zarządzenie Ministra Leśnictwa i Przemysłu Drzewnego z dnia 23 listopada 1967 r. w sprawie uznania za rezerwat przyrody</t>
  </si>
  <si>
    <t xml:space="preserve">Żądłowice</t>
  </si>
  <si>
    <t xml:space="preserve">1968-11-22</t>
  </si>
  <si>
    <t xml:space="preserve">241.1900</t>
  </si>
  <si>
    <t xml:space="preserve">Zarządzenie Ministra Leśnictwa i Przemysłu Drzewnego z dnia 5 października 1968 r. w sprawie uznania za rezerwat przyrody </t>
  </si>
  <si>
    <t xml:space="preserve">Ostrowy</t>
  </si>
  <si>
    <t xml:space="preserve">1970-01-02</t>
  </si>
  <si>
    <t xml:space="preserve">13.0400</t>
  </si>
  <si>
    <t xml:space="preserve">Zarządzenie Ministra Leśnictwa i Przemysłu Drzewnego z dnia 20 listopada 1969 r. w sprawie uznania za rezerwat przyrody</t>
  </si>
  <si>
    <t xml:space="preserve">Ciosny</t>
  </si>
  <si>
    <t xml:space="preserve">1972-02-29</t>
  </si>
  <si>
    <t xml:space="preserve">2.3700</t>
  </si>
  <si>
    <t xml:space="preserve">Zarządzenie Ministra Leśnictwa i Przemysłu Drzewnego z dnia 10 grudnia 1971 r. w sprawie uznania za rezerwat przyrody</t>
  </si>
  <si>
    <t xml:space="preserve">Węże</t>
  </si>
  <si>
    <t xml:space="preserve">20.7400</t>
  </si>
  <si>
    <t xml:space="preserve">Jabłecznik</t>
  </si>
  <si>
    <t xml:space="preserve">1975-05-01</t>
  </si>
  <si>
    <t xml:space="preserve">47.2900</t>
  </si>
  <si>
    <t xml:space="preserve">Zarządzenie Ministra Leśnictwa i Przemysłu Drzewnego z dnia 26 marca 1975 r. w sprawie uznania za rezerwaty przyrody</t>
  </si>
  <si>
    <t xml:space="preserve">Ostrowy-Bażantarnia</t>
  </si>
  <si>
    <t xml:space="preserve">27.2400</t>
  </si>
  <si>
    <t xml:space="preserve">Perna</t>
  </si>
  <si>
    <t xml:space="preserve">15.2700</t>
  </si>
  <si>
    <t xml:space="preserve">Błogie</t>
  </si>
  <si>
    <t xml:space="preserve">1976-07-01</t>
  </si>
  <si>
    <t xml:space="preserve">68.2200</t>
  </si>
  <si>
    <t xml:space="preserve">Zarządzenie Ministra Leśnictwa i Przemysłu Drzewnego z dnia 24 maja 1976 r. w sprawie uznania za rezerwaty przyrody</t>
  </si>
  <si>
    <t xml:space="preserve">Białaczów</t>
  </si>
  <si>
    <t xml:space="preserve">21.8700</t>
  </si>
  <si>
    <t xml:space="preserve">Jeleń</t>
  </si>
  <si>
    <t xml:space="preserve">48.9700</t>
  </si>
  <si>
    <t xml:space="preserve">Twarda</t>
  </si>
  <si>
    <t xml:space="preserve">22.7900</t>
  </si>
  <si>
    <t xml:space="preserve">Gaik</t>
  </si>
  <si>
    <t xml:space="preserve">35.8500</t>
  </si>
  <si>
    <t xml:space="preserve">Ryś</t>
  </si>
  <si>
    <t xml:space="preserve">1977-09-01</t>
  </si>
  <si>
    <t xml:space="preserve">54.1000</t>
  </si>
  <si>
    <t xml:space="preserve">Zarządzenie Ministra Leśnictwa i Przemysłu Drzewnego z dnia 21 lipca 1977 r. w sprawie uznania za rezerwaty przyrody</t>
  </si>
  <si>
    <t xml:space="preserve">Wojsławice</t>
  </si>
  <si>
    <t xml:space="preserve">1978-01-16</t>
  </si>
  <si>
    <t xml:space="preserve">96.6900</t>
  </si>
  <si>
    <t xml:space="preserve">Zarządzenie Ministra Leśnictwa i Przemysłu Drzewnego z dnia 16 stycznia 1978 r. w sprawie uznania za rezerwat przyrody</t>
  </si>
  <si>
    <t xml:space="preserve">Konewka</t>
  </si>
  <si>
    <t xml:space="preserve">1978-11-01</t>
  </si>
  <si>
    <t xml:space="preserve">99.9100</t>
  </si>
  <si>
    <t xml:space="preserve">Zarządzenie Minister Leśnictwa i Przemysłu Drzewnego z dnia 11 października 1978 r. w sprawie uznania za rezerwaty przyrody</t>
  </si>
  <si>
    <t xml:space="preserve">Kruszewiec</t>
  </si>
  <si>
    <t xml:space="preserve">1979-05-15</t>
  </si>
  <si>
    <t xml:space="preserve">81.5400</t>
  </si>
  <si>
    <t xml:space="preserve">Zarządzenie Ministra Leśnictwa i Przemysłu Drzewnego z dnia 19 kwietnia 1979 r. w sprawie uznania za rezerwaty przyrody</t>
  </si>
  <si>
    <t xml:space="preserve">Łaznów</t>
  </si>
  <si>
    <t xml:space="preserve">60.8300</t>
  </si>
  <si>
    <t xml:space="preserve">Łuszczanowice</t>
  </si>
  <si>
    <t xml:space="preserve">41.0900</t>
  </si>
  <si>
    <t xml:space="preserve">Kopanicha</t>
  </si>
  <si>
    <t xml:space="preserve">1980-09-01</t>
  </si>
  <si>
    <t xml:space="preserve">42.5300</t>
  </si>
  <si>
    <t xml:space="preserve">Zarządzenie Ministra Leśnictwa i Przemysłu Drzewnego z dnia 11 sierpnia 1980 r. w sprawie uznania za rezerwaty przyrody</t>
  </si>
  <si>
    <t xml:space="preserve">Ruda Chlebacz</t>
  </si>
  <si>
    <t xml:space="preserve">12.4200</t>
  </si>
  <si>
    <t xml:space="preserve">Uroczysko Bażantarnia</t>
  </si>
  <si>
    <t xml:space="preserve">1982-11-01</t>
  </si>
  <si>
    <t xml:space="preserve">44.5200</t>
  </si>
  <si>
    <t xml:space="preserve">Zarządzenie Ministra Leśnictwa i Przemysłu Drzewnego z dnia 12 października 1982 r. w sprawie uznania za rezerwaty przyrody</t>
  </si>
  <si>
    <t xml:space="preserve">Mokry Las</t>
  </si>
  <si>
    <t xml:space="preserve">1984-01-01</t>
  </si>
  <si>
    <t xml:space="preserve">14.5900</t>
  </si>
  <si>
    <t xml:space="preserve">Zarządzenie Ministra Leśnictwa i Przemysłu Drzewnego z dnia 24 listopada 1983 r. w sprawie uznania za rezerwaty przyrody</t>
  </si>
  <si>
    <t xml:space="preserve">Lasek Kurowski</t>
  </si>
  <si>
    <t xml:space="preserve">22.0700</t>
  </si>
  <si>
    <t xml:space="preserve">Półboru</t>
  </si>
  <si>
    <t xml:space="preserve">56.8300</t>
  </si>
  <si>
    <t xml:space="preserve">Dąbrowa w Niżankowicach</t>
  </si>
  <si>
    <t xml:space="preserve">102.5400</t>
  </si>
  <si>
    <t xml:space="preserve">Rawka</t>
  </si>
  <si>
    <t xml:space="preserve">557.0500</t>
  </si>
  <si>
    <t xml:space="preserve">Zarządzenie Ministra Leśnictwa i Przemysłu Drzewnego z dnia 24 listopada 1983 r. w sprawie uznania za rezerwaty przyrody.</t>
  </si>
  <si>
    <t xml:space="preserve">Sługocice</t>
  </si>
  <si>
    <t xml:space="preserve">1984-07-01</t>
  </si>
  <si>
    <t xml:space="preserve">8.8900</t>
  </si>
  <si>
    <t xml:space="preserve">Zarządzenie Ministra Leśnictwa i Przemysłu Drzewnego z dnia 18 maja 1984 r. w sprawie uznania za rezerwaty przyrody</t>
  </si>
  <si>
    <t xml:space="preserve">Wielkopole</t>
  </si>
  <si>
    <t xml:space="preserve">1984-05-18</t>
  </si>
  <si>
    <t xml:space="preserve">42.0800</t>
  </si>
  <si>
    <t xml:space="preserve">Zarządzenie Ministra Leśnictwa i Przemysłu Drzewnego z dnia 18 maja 1984 r. w sprawie uznania za rezerwaty przyrody (M.P. z 1984 r. Nr 15, poz. 108)
</t>
  </si>
  <si>
    <t xml:space="preserve">Jaksonek</t>
  </si>
  <si>
    <t xml:space="preserve">79.6700</t>
  </si>
  <si>
    <t xml:space="preserve">Zabrzeźnia</t>
  </si>
  <si>
    <t xml:space="preserve">1984-08-01</t>
  </si>
  <si>
    <t xml:space="preserve">27.6200</t>
  </si>
  <si>
    <t xml:space="preserve">Zarządzenie Ministra Leśnictwa i Przemysłu Drzewnego z dnia 4 lipca 1984 r. w sprawie uznania za rezerwat przyrody</t>
  </si>
  <si>
    <t xml:space="preserve">Małecz</t>
  </si>
  <si>
    <t xml:space="preserve">1987-08-12</t>
  </si>
  <si>
    <t xml:space="preserve">9.1500</t>
  </si>
  <si>
    <t xml:space="preserve">Zarządzenie Ministra Ochrony Środowiska, Zasobów Naturalnych i Leśnictwa z dnia 12 sierpnia 1987 r. w sprawie uznania za rezerwaty przyrody</t>
  </si>
  <si>
    <t xml:space="preserve">Jawora</t>
  </si>
  <si>
    <t xml:space="preserve">1987-09-30</t>
  </si>
  <si>
    <t xml:space="preserve">87.1900</t>
  </si>
  <si>
    <t xml:space="preserve">Zarządzenie Ministra Ochrony Środowiska i Zasobów Naturalnych z dnia 12 sierpnia 1987 r. w sprawie uznania za rezerwaty przyrody </t>
  </si>
  <si>
    <t xml:space="preserve">Diabla Góra</t>
  </si>
  <si>
    <t xml:space="preserve">1988-02-15</t>
  </si>
  <si>
    <t xml:space="preserve">161.1900</t>
  </si>
  <si>
    <t xml:space="preserve">Zarządzenie Ministra Ochrony Środowiska i Zasobów Naturalnych z dnia 29 grudnia 1987 r. w sprawie uznania za rezerwaty przyrody</t>
  </si>
  <si>
    <t xml:space="preserve">Torfowisko Rąbień</t>
  </si>
  <si>
    <t xml:space="preserve">42.4300</t>
  </si>
  <si>
    <t xml:space="preserve">Zarządzenie Ministra Ochrony Środowiska i Zasobów Naturalnych z dnia 18 stycznia 1988 r.</t>
  </si>
  <si>
    <t xml:space="preserve">Źródła Borówki</t>
  </si>
  <si>
    <t xml:space="preserve">1989-04-15</t>
  </si>
  <si>
    <t xml:space="preserve">21.9900</t>
  </si>
  <si>
    <t xml:space="preserve">Zarządzenie Ministra Ochrony Środowiska i Zasobów Naturalnych z dnia 3 marca 1989 r. w sprawie uznania za rezerwaty przyrody</t>
  </si>
  <si>
    <t xml:space="preserve">Dęby w Meszczach</t>
  </si>
  <si>
    <t xml:space="preserve">1989-06-14</t>
  </si>
  <si>
    <t xml:space="preserve">39.1500</t>
  </si>
  <si>
    <t xml:space="preserve">Zarządzenie Ministra Ochrony Środowiska i Zasobów Naturalnych z dnia 11 maja 1989 r. w sprawie uznania za rezerwaty przyrody</t>
  </si>
  <si>
    <t xml:space="preserve">Starodrzew Lubochniański</t>
  </si>
  <si>
    <t xml:space="preserve">1990-08-29</t>
  </si>
  <si>
    <t xml:space="preserve">22.3800</t>
  </si>
  <si>
    <t xml:space="preserve">Zarządzenie Ministra Ochrony Środowiska, Zasobów Naturalnych i Leśnictwa z dnia 25 czerwca 1990 r. w sprawie uznania za rezerwaty przyrody</t>
  </si>
  <si>
    <t xml:space="preserve">Dąbrowa Świetlista</t>
  </si>
  <si>
    <t xml:space="preserve">40.1300</t>
  </si>
  <si>
    <t xml:space="preserve">Struga Dobieszkowska</t>
  </si>
  <si>
    <t xml:space="preserve">37.6500</t>
  </si>
  <si>
    <t xml:space="preserve">Zarządzenie Ministra Ochrony Środowiska, Zasobów Naturalnych i Leśnictwa z dnia 25 czerwca 1990 r. w sprawie uznania za rezerwaty przyrody.</t>
  </si>
  <si>
    <t xml:space="preserve">Dąbrowa Grotnicka</t>
  </si>
  <si>
    <t xml:space="preserve">100.4700</t>
  </si>
  <si>
    <t xml:space="preserve">Piskorzeniec</t>
  </si>
  <si>
    <t xml:space="preserve">1991-01-05</t>
  </si>
  <si>
    <t xml:space="preserve">431.9600</t>
  </si>
  <si>
    <t xml:space="preserve">Zarządzenie Ministra Ochrony Środowiska, Zasobów Naturalnych i Leśnictwa z dnia 26 listopada 1990 r. w sprawie uznania za rezerwaty przyrody</t>
  </si>
  <si>
    <t xml:space="preserve">Jodły Łaskie im. Stanisława Kostki Wisińskiego</t>
  </si>
  <si>
    <t xml:space="preserve">1991-12-06</t>
  </si>
  <si>
    <t xml:space="preserve">58.3900</t>
  </si>
  <si>
    <t xml:space="preserve">Rozporządzenie Nr 36/2007 Wojewody Łódzkiego z dnia 18 lipca 2007 r. w sprawie rezerwatu przyrody "Jodły Łaskie" </t>
  </si>
  <si>
    <t xml:space="preserve">Grądy nad Moszczenicą</t>
  </si>
  <si>
    <t xml:space="preserve">1994-07-13</t>
  </si>
  <si>
    <t xml:space="preserve">42.1400</t>
  </si>
  <si>
    <t xml:space="preserve">Zarządzenie Ministra Ochrony Środowiska, Zasobów Naturalnych i Leśnictwa z dnia 13.06.1994 r.</t>
  </si>
  <si>
    <t xml:space="preserve">Napoleonów</t>
  </si>
  <si>
    <t xml:space="preserve">1996-02-07</t>
  </si>
  <si>
    <t xml:space="preserve">37.9900</t>
  </si>
  <si>
    <t xml:space="preserve">Zarządzenie Ministra Ochrony Środowiska, Zasobów Naturalnych i Leśnictwa z dnia 11 grudnia 1995 r. w sprawie uznania za rezerwat przyrody</t>
  </si>
  <si>
    <t xml:space="preserve">Paza</t>
  </si>
  <si>
    <t xml:space="preserve">27.0400</t>
  </si>
  <si>
    <t xml:space="preserve">Winnica</t>
  </si>
  <si>
    <t xml:space="preserve">1995-12-11</t>
  </si>
  <si>
    <t xml:space="preserve">1.5400</t>
  </si>
  <si>
    <t xml:space="preserve">Zarządzenie Ministra Ochrony Środowiska, Zasobów Naturalnych i Leśnictwa z dnia z dnia 11 grudnia 1995 r. w sprawie uznania za rezerwat przyrody</t>
  </si>
  <si>
    <t xml:space="preserve">Wrząca</t>
  </si>
  <si>
    <t xml:space="preserve">59.7000</t>
  </si>
  <si>
    <t xml:space="preserve">Czarny Ług</t>
  </si>
  <si>
    <t xml:space="preserve">1996-07-16</t>
  </si>
  <si>
    <t xml:space="preserve">2.5500</t>
  </si>
  <si>
    <t xml:space="preserve">6.0100</t>
  </si>
  <si>
    <t xml:space="preserve">Zarządzenie Ministra Ochrony Środowiska, Zasobów Naturalnych i Leśniczych z dnia 14 czerwca 1996 r. w sprawie uznania za rezerwat przyrody</t>
  </si>
  <si>
    <t xml:space="preserve">Czarna Rózga</t>
  </si>
  <si>
    <t xml:space="preserve">1996-12-24</t>
  </si>
  <si>
    <t xml:space="preserve">185.6000</t>
  </si>
  <si>
    <t xml:space="preserve">Zarządzenie Ministra Ochrony Środowiska, Zasobów Naturalnych i Leśnictwa z dnia 12 listopada 1996 r. w sprawie uznania za rezerwat przyrody</t>
  </si>
  <si>
    <t xml:space="preserve">Las Jabłoniowy</t>
  </si>
  <si>
    <t xml:space="preserve">19.0300</t>
  </si>
  <si>
    <t xml:space="preserve">Las Łagiewnicki</t>
  </si>
  <si>
    <t xml:space="preserve">69.8600</t>
  </si>
  <si>
    <t xml:space="preserve">Grądy nad Lindą</t>
  </si>
  <si>
    <t xml:space="preserve">1997-09-23</t>
  </si>
  <si>
    <t xml:space="preserve">55.8300</t>
  </si>
  <si>
    <t xml:space="preserve">Zarządzenie Ministra Ochrony Środowiska, Zasobów Naturalnych i Leśnictwa z dnia 25 lipca 1997 r. w sprawie uznania za rezerwta przyrody</t>
  </si>
  <si>
    <t xml:space="preserve">Jodły Sieleckie</t>
  </si>
  <si>
    <t xml:space="preserve">1998-12-29</t>
  </si>
  <si>
    <t xml:space="preserve">32.7400</t>
  </si>
  <si>
    <t xml:space="preserve">Rozporządzenie Ministra Ochrony Środowiska, Zasobów Naturalnych i Leśnictwa z dnia 21 grudnia 1998 r. w sprawie uznania za rezerwat przyrody</t>
  </si>
  <si>
    <t xml:space="preserve">Polana Siwica</t>
  </si>
  <si>
    <t xml:space="preserve">1998-12-21</t>
  </si>
  <si>
    <t xml:space="preserve">68.3800</t>
  </si>
  <si>
    <t xml:space="preserve">Jeziorsko</t>
  </si>
  <si>
    <t xml:space="preserve">1998-12-31</t>
  </si>
  <si>
    <t xml:space="preserve">1967.6500</t>
  </si>
  <si>
    <t xml:space="preserve">Zarządzenie Ministra Ochrony Środowiska, Zasobów Naturalnych i Leśnictwa z dnia 23 grudnia1998 r.</t>
  </si>
  <si>
    <t xml:space="preserve">Korzeń</t>
  </si>
  <si>
    <t xml:space="preserve">34.9300</t>
  </si>
  <si>
    <t xml:space="preserve">Zarządzenie Ministra Ochrony Środowiska, Zasobów Naturalnych i Leśnictwa z dnia 23 grudnia 1998 r. w sprawie uznania za rezerwat przyrody</t>
  </si>
  <si>
    <t xml:space="preserve">Kwaśna Buczyna</t>
  </si>
  <si>
    <t xml:space="preserve">1998-12-23</t>
  </si>
  <si>
    <t xml:space="preserve">14.8000</t>
  </si>
  <si>
    <t xml:space="preserve">ROZPORZĄDZENI E MINISTRA OCHRONY ŚRODOWISKA, ZASOBÓW NATURALNYCH I LEŚNICTWA
z dnia 23 grudnia 1998 r.
w sprawie uznania za rezerwat przyrody.</t>
  </si>
  <si>
    <t xml:space="preserve">Parowy Janinowskie</t>
  </si>
  <si>
    <t xml:space="preserve">2000-03-29</t>
  </si>
  <si>
    <t xml:space="preserve">41.6600</t>
  </si>
  <si>
    <t xml:space="preserve">Rozporządzenie Wojewody Łódzkiego nr 10/2000 z dnia 13 marca 2000 r. w sprawie uznania za rezerwat przyrody</t>
  </si>
  <si>
    <t xml:space="preserve">Grabica</t>
  </si>
  <si>
    <t xml:space="preserve">2000-08-19</t>
  </si>
  <si>
    <t xml:space="preserve">8.5100</t>
  </si>
  <si>
    <t xml:space="preserve">Rozporządzenie Wojewody Łódzkiego nr 26/2000 z dnia 31lipca 2000 r. w sprawie uznania za rezerwat przyrody</t>
  </si>
  <si>
    <t xml:space="preserve">Mianów</t>
  </si>
  <si>
    <t xml:space="preserve">5.8700</t>
  </si>
  <si>
    <t xml:space="preserve">17.4200</t>
  </si>
  <si>
    <t xml:space="preserve">Rozporządzenie Wojewody Łódzkiego nr 27/2000 z dnia 31 lipca 2000 r. w sprawie uznania za rezerwat przyrody</t>
  </si>
  <si>
    <t xml:space="preserve">Hołda</t>
  </si>
  <si>
    <t xml:space="preserve">71.2400</t>
  </si>
  <si>
    <t xml:space="preserve">Rozporządzenie Ministra Ochrony Środowiska, Zasobów Naturalnych i Leśnictwa  z dnia 23 grudnia 1998 r. w sprawie uznania za rezerwat przyrody</t>
  </si>
  <si>
    <t xml:space="preserve">Bukowiec</t>
  </si>
  <si>
    <t xml:space="preserve">6.5400</t>
  </si>
  <si>
    <t xml:space="preserve">Gać Spalska</t>
  </si>
  <si>
    <t xml:space="preserve">2006-12-14</t>
  </si>
  <si>
    <t xml:space="preserve">85.8900</t>
  </si>
  <si>
    <t xml:space="preserve">Rozporządzenie Nr 32/2006 Wojewody Łódzkiego z dnia 16 listopada 2006 r. w sprawie rezerwatu przyrody "Gać Spalska"</t>
  </si>
  <si>
    <t xml:space="preserve">stanowisko dokumentacyjne</t>
  </si>
  <si>
    <t xml:space="preserve">Siedlątków</t>
  </si>
  <si>
    <t xml:space="preserve">1994-01-01</t>
  </si>
  <si>
    <t xml:space="preserve">9.8700</t>
  </si>
  <si>
    <t xml:space="preserve">Rozporządzenie Wojewody Sieradzkiego z dnia 4 maja 1994 r. w sprawie uznania za stanowisko dokumentacyjne</t>
  </si>
  <si>
    <t xml:space="preserve">Odsłonięcie geologiczne w Niesułkowie Kolonii</t>
  </si>
  <si>
    <t xml:space="preserve">2003-10-13</t>
  </si>
  <si>
    <t xml:space="preserve">3.8890</t>
  </si>
  <si>
    <t xml:space="preserve">Uchwała Nr XI/87/2003 Rady Miejskiej W Strykowie z dnia 29 sierpnia 2003 r. w sprawie utworzenia stanowiska dokumentacyjnego "Odsłonięcie geologiczne w Niesułkowie Kolonii" w gminie Stryków.
</t>
  </si>
  <si>
    <t xml:space="preserve">Groty Nagórzyckie</t>
  </si>
  <si>
    <t xml:space="preserve">2008-04-03</t>
  </si>
  <si>
    <t xml:space="preserve">20.8000</t>
  </si>
  <si>
    <t xml:space="preserve">Uchwała Nr XXIII/180/08 Rady Miejskiej Tomaszowa Mazowieckiego z dnia 30 stycznia 2008 r. w sprawie ustanowienia stanowiska dokumentacyjnego pod nazwą "Groty Nagórzyckie".
</t>
  </si>
  <si>
    <t xml:space="preserve">Kamieniołom piaskowców Olewin</t>
  </si>
  <si>
    <t xml:space="preserve">0.5200</t>
  </si>
  <si>
    <t xml:space="preserve">Rozporządzenie Wojewody Sieradzkiego z dnia 24 listopada 1998 r. w sprawie uznania za obiekty chronione</t>
  </si>
  <si>
    <t xml:space="preserve">zespół przyrodniczo-krajobrazowy</t>
  </si>
  <si>
    <t xml:space="preserve">1996-06-06</t>
  </si>
  <si>
    <t xml:space="preserve">4.5200</t>
  </si>
  <si>
    <t xml:space="preserve">Rozporządzenie Nr 419 Wojewody Sieradzkiego z dnia 22 kwietnia 1996 r. w sprawie uznania za użytki ekologiczne, stanowisko dokumentacyjne oraz zespół przyrodniczo-krajobrazowe</t>
  </si>
  <si>
    <t xml:space="preserve">Wzgórza Ożarowskie</t>
  </si>
  <si>
    <t xml:space="preserve">1998-09-24</t>
  </si>
  <si>
    <t xml:space="preserve">628.3000</t>
  </si>
  <si>
    <t xml:space="preserve">Rozporządzenie Wojewody Sieradzkiego z dnia 31.07.1998 r. w sprawie wyznaczenia obszarów chronionego krajobrazu oraz uznania za zespoły przyrodniczo-krajobrazowe</t>
  </si>
  <si>
    <t xml:space="preserve">Działoszyński</t>
  </si>
  <si>
    <t xml:space="preserve">299.0000</t>
  </si>
  <si>
    <t xml:space="preserve">Rozporządzenie Wojewody Sieradzkiego z dnia 31 lipca1998 r. w sprawie wyznaczenia obszarów chronionego krajobrazu oraz uznania za zespoły przyrodniczo-krajobrazowe</t>
  </si>
  <si>
    <t xml:space="preserve">Osjakowski</t>
  </si>
  <si>
    <t xml:space="preserve">2492.0000</t>
  </si>
  <si>
    <t xml:space="preserve">Rozporządzenie Wojewody Sieradzkiego z dnia 31 lipca1998 r.  w sprawie wyznaczenia obszarów chronionego krajobrazu oraz uznania za zespoły przyrodniczo-krajobrazowe</t>
  </si>
  <si>
    <t xml:space="preserve">Góry Wapienne</t>
  </si>
  <si>
    <t xml:space="preserve">1995-01-01</t>
  </si>
  <si>
    <t xml:space="preserve">3.6400</t>
  </si>
  <si>
    <t xml:space="preserve">Uchwała Nr VIII/41/95 Rady Gminy w Burzeninie z dnia 30.03.1995 r. w sprawie uznania "Gór Wapiennych" w Burzeninie za zespół przyrodniczo-krajobrazowy</t>
  </si>
  <si>
    <t xml:space="preserve">Dolina Grabi</t>
  </si>
  <si>
    <t xml:space="preserve">4007.0000</t>
  </si>
  <si>
    <t xml:space="preserve">Sędziejowice</t>
  </si>
  <si>
    <t xml:space="preserve">1995-11-25</t>
  </si>
  <si>
    <t xml:space="preserve">13.2200</t>
  </si>
  <si>
    <t xml:space="preserve">Rozporządzenie Wojewody Sieradzkiego z dnia 25 października 1995 r. w sprawie zmiany rozporządzenia Wojewody Sieradzkiego z dnia 12 maja 1995 r. w sprawie uznania za użytek ekologiczny.</t>
  </si>
  <si>
    <t xml:space="preserve">Luciejów</t>
  </si>
  <si>
    <t xml:space="preserve">2001-09-04</t>
  </si>
  <si>
    <t xml:space="preserve">136.1300</t>
  </si>
  <si>
    <t xml:space="preserve">ROZPORZĄDZENIE Nr 48/2001
WOJEWODY ŁÓDZKIEGO
z dnia 8 sierpnia 2001 r.
w sprawie uznania za zespoły przyrodniczo - krajobrazowe.</t>
  </si>
  <si>
    <t xml:space="preserve">Mogilno</t>
  </si>
  <si>
    <t xml:space="preserve">68.5300</t>
  </si>
  <si>
    <t xml:space="preserve">ROZPORZĄDZENIE Nr 48/2001
WOJEWODY ŁÓDZKIEGO
z dnia 8 sierpnia 2001 r.
w sprawie uznania za zespoły przyrodniczo - krajobrazowe</t>
  </si>
  <si>
    <t xml:space="preserve">Dobroń</t>
  </si>
  <si>
    <t xml:space="preserve">221.3600</t>
  </si>
  <si>
    <t xml:space="preserve">Borkowice</t>
  </si>
  <si>
    <t xml:space="preserve">507.3800</t>
  </si>
  <si>
    <t xml:space="preserve">Rochna</t>
  </si>
  <si>
    <t xml:space="preserve">21.9500</t>
  </si>
  <si>
    <t xml:space="preserve">Rozporzadzenie Nr 26 Wojewody Skierniewickiego z dnia 17.11.1998 r. w sprawie wyznaczenia zespołu przyrodniczo-krajobrazowego "Rochna" w gminie Brzeziny</t>
  </si>
  <si>
    <t xml:space="preserve">Dolina Mrogi</t>
  </si>
  <si>
    <t xml:space="preserve">493.0000</t>
  </si>
  <si>
    <t xml:space="preserve">Rozporządzenie Nr 19 Wojewody Skierniewickiego z dnia 2.07.1997 r. w sprawie wyznaczenia zespołu przyrodniczo-krajobrazowego "Dolina Mrogi" w gminie Rogów i Brzeziny</t>
  </si>
  <si>
    <t xml:space="preserve">Górna Mrożyca</t>
  </si>
  <si>
    <t xml:space="preserve">105.0000</t>
  </si>
  <si>
    <t xml:space="preserve">Rozporządzenie Nr 7 Wojewody Skierniewickiego z dnia 6.03.1998 r. w sprawie wyznaczenia zespołu przyrodniczo-krajobrazowego "Górna Mrożyca" w gminie Brzeziny</t>
  </si>
  <si>
    <t xml:space="preserve">Nieborów</t>
  </si>
  <si>
    <t xml:space="preserve">46.3500</t>
  </si>
  <si>
    <t xml:space="preserve">Rozporządzenie Nr 21 Wojewody Skierniewickiego z dnia 6.10.1998 r. w sprawie wyznaczenia zespołu przyrodniczo-krajobrazowego "Nieborów" w gminie Nieborów</t>
  </si>
  <si>
    <t xml:space="preserve">Zwierzyniec Królewski</t>
  </si>
  <si>
    <t xml:space="preserve">1994-11-10</t>
  </si>
  <si>
    <t xml:space="preserve">572.3200</t>
  </si>
  <si>
    <t xml:space="preserve">Rozporządzenie Nr 22 Wojewody Skierniewickiego z dnia 23.09.1994 r. w sprawie wyznaczenia zespołu przyrodniczo-krajobrazowego "Zwierzyniec Królewski"</t>
  </si>
  <si>
    <t xml:space="preserve">Skarpa Jurajska</t>
  </si>
  <si>
    <t xml:space="preserve">2001-06-28</t>
  </si>
  <si>
    <t xml:space="preserve">0.8238</t>
  </si>
  <si>
    <t xml:space="preserve">Uchwała Rady Gminy Inowłódz Nr XXIII/226/2001 z dnia 28.06.2001 r. w sprawie uznania za użytki ekologiczne i zespoły przyrodniczo-krajobrazowe obszarów Gminy Inowłódz</t>
  </si>
  <si>
    <t xml:space="preserve">Majowa Góra</t>
  </si>
  <si>
    <t xml:space="preserve">3.9000</t>
  </si>
  <si>
    <t xml:space="preserve">Uchwała Rady Miasta Przedbórz Nr XXI/153/94 z dnia 23.03.1994 r. w sprawie uznania terenu obszaru leśnego "Majowa Góra" w Przedborzu za zespół przyrodniczo-krajobrazowy podlegający ochronie</t>
  </si>
  <si>
    <t xml:space="preserve">Sucha dolina w Moskulach</t>
  </si>
  <si>
    <t xml:space="preserve">2010-09-09</t>
  </si>
  <si>
    <t xml:space="preserve">161.8880</t>
  </si>
  <si>
    <t xml:space="preserve">Uchwała Nr XCI/1599/10 Rady Miejskiej w Łodzi z dnia 7 lipca 2010 r. w sprawie ustanowienia zespołu przyrodniczo-krajobrazowego "Sucha dolina w Moskulach"</t>
  </si>
  <si>
    <t xml:space="preserve">Dolina Sokołówki</t>
  </si>
  <si>
    <t xml:space="preserve">219.7820</t>
  </si>
  <si>
    <t xml:space="preserve">Uchwała Nr XCI/1600/10 Rady Miejskiej w Łodzi z dnia 7 lipca 2010 r. w sprawie ustanowienia zespołu przyrodniczo-krajobrazowego "Dolina Sokołówki"</t>
  </si>
  <si>
    <t xml:space="preserve">Międzyrzecze Neru i Dobrzynki</t>
  </si>
  <si>
    <t xml:space="preserve">217.0210</t>
  </si>
  <si>
    <t xml:space="preserve">Uchwała Nr XCI/1602/10 Rady Miejskiej w Łodzi z dnia 7 lipca 2010 r. w sprawie ustanowienia zespołu przyrodniczo-krajobrazowego "Międzyrzecze Neru i Dobrzynki"</t>
  </si>
  <si>
    <t xml:space="preserve">Źródła Neru</t>
  </si>
  <si>
    <t xml:space="preserve">134.0690</t>
  </si>
  <si>
    <t xml:space="preserve">Uchwała Nr XCI/1603/10 Rady Miejskiej w Łodzi z dnia 7 lipca 2010 r. w sprawie ustanowienia zespołu przyrodniczo-krajobrazowego "Źródła Neru"</t>
  </si>
  <si>
    <t xml:space="preserve">Ruda Willowa</t>
  </si>
  <si>
    <t xml:space="preserve">2009-07-22</t>
  </si>
  <si>
    <t xml:space="preserve">225.2300</t>
  </si>
  <si>
    <t xml:space="preserve">Uchwała Nr LVIII/1104/09 Rady Miejskiej w Łodzi z dnia 27 maja 2009 r. w sprawie ustanowienia zespołu przyrodniczo-krajobrazowego "Ruda Willowa"</t>
  </si>
  <si>
    <t xml:space="preserve">Lipickie Błota</t>
  </si>
  <si>
    <t xml:space="preserve">2005-03-01</t>
  </si>
  <si>
    <t xml:space="preserve">721.9000</t>
  </si>
  <si>
    <t xml:space="preserve">Rozporządzenie Nr 1/2005 Wojewody Łódzkiego z dnia 3 lutego 2005 r. w sprawie ustanowienia zespołu przyrodniczo-krajobrazowego</t>
  </si>
  <si>
    <t xml:space="preserve">Park zabytkowy w miejscowości Sokolniki</t>
  </si>
  <si>
    <t xml:space="preserve">2005-12-13</t>
  </si>
  <si>
    <t xml:space="preserve">3.9600</t>
  </si>
  <si>
    <t xml:space="preserve">UCHWAŁA NR XXI/136/05
RADY GMINY SOKOLNIKI
z dnia 27 października 2005 r.
w sprawie uznania za Zespół przyrodniczo - krajobrazowy</t>
  </si>
  <si>
    <t xml:space="preserve">Park Zadzim</t>
  </si>
  <si>
    <t xml:space="preserve">2006-01-11</t>
  </si>
  <si>
    <t xml:space="preserve">6.6100</t>
  </si>
  <si>
    <t xml:space="preserve">UCHWAŁA Nr XXXV/189/05
RADY GMINY ZADZIM
z dnia 10 listopada 2005 r.
w sprawie uznania za zespół przyrodniczo-krajobrazowy</t>
  </si>
  <si>
    <t xml:space="preserve">Parki Złoczewskie</t>
  </si>
  <si>
    <t xml:space="preserve">2004-12-18</t>
  </si>
  <si>
    <t xml:space="preserve">UCHWAŁA Nr XXIII/165/04
RADY MIEJSKIEJ W ZŁOCZEWIE
z dnia 29 października 2004 r.
w sprawie ustanowienia zespołu przyrodniczo - krajobrazowego</t>
  </si>
  <si>
    <t xml:space="preserve">Poddębicki Zespół Przyrodniczo-Krajobrazowy</t>
  </si>
  <si>
    <t xml:space="preserve">2007-08-16</t>
  </si>
  <si>
    <t xml:space="preserve">5.7707</t>
  </si>
  <si>
    <t xml:space="preserve">Uchwała Nr X/51/07 Rady miejskiej w Poddębicach z dnia 26 czerwca 2007 r. w sprawie ustanowienia zespołu przyrodniczo-krajobrazowego pod nazwą "Poddębicki Zespół Przyrodniczo-Krajobrazowy"</t>
  </si>
  <si>
    <t xml:space="preserve">Zabytkowy Park Podworski w Czepowie Dolnym</t>
  </si>
  <si>
    <t xml:space="preserve">4.6300</t>
  </si>
  <si>
    <t xml:space="preserve">UCHWAŁA Nr XXVIII/153/04
RADY MIEJSKIEJ W UNIEJOWIE
z dnia 30 września 2004 r.
w sprawie uznania za zespół przyrodniczo - krajobrazowy Parku we wsi Czepów</t>
  </si>
  <si>
    <t xml:space="preserve">Zabytkowy Park w Buczku</t>
  </si>
  <si>
    <t xml:space="preserve">2004-12-10</t>
  </si>
  <si>
    <t xml:space="preserve">1.5972</t>
  </si>
  <si>
    <t xml:space="preserve">UCHWAŁA Nr XXI/103/04
RADY GMINY BUCZEK
z dnia 18 października 2004 r.
w sprawie uznania za zespół przyrodniczo - krajobrazowy</t>
  </si>
  <si>
    <t xml:space="preserve">Kolumna - Las</t>
  </si>
  <si>
    <t xml:space="preserve">1993-01-01</t>
  </si>
  <si>
    <t xml:space="preserve">Uchwała Nr XXIX/303/93 Rady Miasta i Gminy w Łasku z dnia 30 marca 1993 roku w sprawie uznania Kolumny-Lasu za zespół przyrodniczo-krajobrazowy</t>
  </si>
  <si>
    <t xml:space="preserve">Dąbrowa II</t>
  </si>
  <si>
    <t xml:space="preserve">1996-01-01</t>
  </si>
  <si>
    <t xml:space="preserve">142.8200</t>
  </si>
  <si>
    <t xml:space="preserve">Rozporządzenie Nr 5/96 Wojewody Piotrkowskiego z dnia 04.11.1996 r. w sprawie uznania za zespoły przyrodniczo-krajobrazowe oraz za użytki ekologiczne</t>
  </si>
  <si>
    <t xml:space="preserve">Dąbrowa I</t>
  </si>
  <si>
    <t xml:space="preserve">55.9800</t>
  </si>
  <si>
    <t xml:space="preserve">Rozporządzenie Nr 5/96 Wojewody Piotrkowskiego
z dnia 04.11.1996 r. w sprawie uznania za zespoły
przyrodniczo-krajobrazowe oraz za użytki
ekologiczne</t>
  </si>
  <si>
    <t xml:space="preserve">Renesansowe założenie Pałacowo-Parkowe w Działoszynie</t>
  </si>
  <si>
    <t xml:space="preserve">2005-10-11</t>
  </si>
  <si>
    <t xml:space="preserve">2.3414</t>
  </si>
  <si>
    <t xml:space="preserve">Uchwała Nr XXVIII/195/05 Rady Miejskiej w Działoszynie z dnia 31 sierpnia 2005 roku w sprawie ustanowienia zespołu przyrodniczo-krajobrazowego </t>
  </si>
  <si>
    <t xml:space="preserve">Strefa krawędziowa doliny rzeki Warty</t>
  </si>
  <si>
    <t xml:space="preserve">2014-04-24</t>
  </si>
  <si>
    <t xml:space="preserve">27.7021</t>
  </si>
  <si>
    <t xml:space="preserve">Uchwała Nr XXVIII/199/13 Rady Gminy Zapolice z dnia 27 lutego 2013 r. w sprawie ustanowienia zespołu przyrodniczo-krajobrazowego "Strefa krawędziowa doliny rzeki Warty"</t>
  </si>
  <si>
    <t xml:space="preserve">Uroczysko Zieleń</t>
  </si>
  <si>
    <t xml:space="preserve">2004-12-04</t>
  </si>
  <si>
    <t xml:space="preserve">79.4320</t>
  </si>
  <si>
    <t xml:space="preserve">ROZPORZĄDZENIE Nr 9/2004
WOJEWODY ŁÓDZKIEGO
z dnia 9 listopada 2004 r.
w sprawie ustanowienia zespołu przyrodniczo - krajobrazowego</t>
  </si>
  <si>
    <t xml:space="preserve">pomnik przyrody</t>
  </si>
  <si>
    <t xml:space="preserve">1988-01-14</t>
  </si>
  <si>
    <t xml:space="preserve">0.0000</t>
  </si>
  <si>
    <t xml:space="preserve">Zarządzenie Nr 45/87 Wojewody Piotrkowskiego z dnia 15 grudnia 1987 r. w sprawie uznania za pomniki przyrody</t>
  </si>
  <si>
    <t xml:space="preserve">Bełchatów</t>
  </si>
  <si>
    <t xml:space="preserve">1996-11-23</t>
  </si>
  <si>
    <t xml:space="preserve">Rozporządzenie Nr 4/96 Wojewody Piotrkowskiego z dnia 4 listopada 1996 r. w sprawie uznania za pomniki przyrody</t>
  </si>
  <si>
    <t xml:space="preserve">Dąb Generał</t>
  </si>
  <si>
    <t xml:space="preserve">2003-08-28</t>
  </si>
  <si>
    <t xml:space="preserve">Uchwała Nr IX/102/2003 Rady Gminy Bełchatów z dnia 28 sierpnia 2003 r. w sprawie uznania za pomnik przyrody</t>
  </si>
  <si>
    <t xml:space="preserve">Drużbice</t>
  </si>
  <si>
    <t xml:space="preserve">Józef</t>
  </si>
  <si>
    <t xml:space="preserve">Kluki</t>
  </si>
  <si>
    <t xml:space="preserve">2008-04-17</t>
  </si>
  <si>
    <t xml:space="preserve">Uchwała Nr 17/XIX/05 Rady Gminy Kluki z dnia 26 kwietnia 2005 r. w sprawie uznania za pomnik przyrody</t>
  </si>
  <si>
    <t xml:space="preserve">1998-03-06</t>
  </si>
  <si>
    <t xml:space="preserve">Rozporządzenie Wojewody Sieradzkiego z dnia 3 lutego 1998 r. w sprawie uznania za pomnik przyrody</t>
  </si>
  <si>
    <t xml:space="preserve">Rusiec</t>
  </si>
  <si>
    <t xml:space="preserve">1996-11-04</t>
  </si>
  <si>
    <t xml:space="preserve">Szczerców</t>
  </si>
  <si>
    <t xml:space="preserve">Aleja brzóz</t>
  </si>
  <si>
    <t xml:space="preserve">Zelów</t>
  </si>
  <si>
    <t xml:space="preserve">1998-08-19</t>
  </si>
  <si>
    <t xml:space="preserve">Rozporządzenie Nr 5/98 Wojewody Piotrkowskiego z dnia 3 lipca 1998 r. w sprawie zmiany rozporządzenia dotyczącego uznania za pomniki przyrody</t>
  </si>
  <si>
    <t xml:space="preserve">Stanisław</t>
  </si>
  <si>
    <t xml:space="preserve">2013-05-02</t>
  </si>
  <si>
    <t xml:space="preserve">Uchwała NR XXXVI/284/2013 Rady Miejskiej w Zelowie z dn.15.03.2013 r. w sprawie ustanowienia drzew za pomniki przyrody</t>
  </si>
  <si>
    <t xml:space="preserve">Wiktoria</t>
  </si>
  <si>
    <t xml:space="preserve">1955-03-15</t>
  </si>
  <si>
    <t xml:space="preserve">Orzeczenie Nr 12 PWRN w Łodzi z dnia 15 marca 1955 r.</t>
  </si>
  <si>
    <t xml:space="preserve">Kutno</t>
  </si>
  <si>
    <t xml:space="preserve">1982-03-04</t>
  </si>
  <si>
    <t xml:space="preserve">Orzeczenie Nr 64 Wicewojewody Płockiego z dnia 4 marca 1982 r.</t>
  </si>
  <si>
    <t xml:space="preserve">2007-09-25</t>
  </si>
  <si>
    <t xml:space="preserve">Uchwała Nr XIV/126/07 Rady Miasta Kutno z dnia 25 września 2007 r. w sprawie ustanowienia pomnikami przyrody dębów szypułkowych rosnących na terenie Miasta Kutno</t>
  </si>
  <si>
    <t xml:space="preserve">Trójniak</t>
  </si>
  <si>
    <t xml:space="preserve">1979-12-20</t>
  </si>
  <si>
    <t xml:space="preserve">Orzeczenie Nr 38 z dnia 20 grudnia 1979 r. o uznaniu za pomnik przyrody</t>
  </si>
  <si>
    <t xml:space="preserve">Bedlno</t>
  </si>
  <si>
    <t xml:space="preserve">1976-11-27</t>
  </si>
  <si>
    <t xml:space="preserve">Orzeczenie Wicewojewody Płockiego nr 16 z dnia 27 listopada 1976 r.</t>
  </si>
  <si>
    <t xml:space="preserve">1985-08-15</t>
  </si>
  <si>
    <t xml:space="preserve">Zarządzenie Nr 31/85 Wojewody Płockiego z dnia 15 sierpnia 1985 r. o uznaniu za pomniki przyrody</t>
  </si>
  <si>
    <t xml:space="preserve">Orzeczenie Wojewody Płockiego nr 7 z dnia 27 listopada 1976 r.</t>
  </si>
  <si>
    <t xml:space="preserve">Krośniewice</t>
  </si>
  <si>
    <t xml:space="preserve">Orzeczenie Wojewody Płockiego Nr 26 z dnia 27 listopada 1976 r.</t>
  </si>
  <si>
    <t xml:space="preserve">Krzyżanów</t>
  </si>
  <si>
    <t xml:space="preserve">Orzeczenie Nr 14 z dnia 27 listopada 1796 r. o uznaniu za pomnik przyrody</t>
  </si>
  <si>
    <t xml:space="preserve">Orzeczenie Nr 15 Wojewody Płockiego z dnia 27 listopada 1976 r. o uznaniu za pomnik przyrody</t>
  </si>
  <si>
    <t xml:space="preserve">Orzeczenie Nr 61 z dnia 4 marca 1982 r. o uznaniu za pomnik przyrody</t>
  </si>
  <si>
    <t xml:space="preserve">2007-08-10</t>
  </si>
  <si>
    <t xml:space="preserve">Uchwała Nr IX/56/2007 Rady Gminy Kutno z dnia 10 sierpnia 2007 r. w sprawie uznania drzew za pomniki przyrody na terenie Gminy Kutno</t>
  </si>
  <si>
    <t xml:space="preserve">Orzeczenie Nr 13 z dnia 27 listopada 1976 r. o uznaniu za pomniki przyrody wydane przez Wojewodę Płockiego(Dz. Urz. WRN w Płocku Nr 2, poz.22)</t>
  </si>
  <si>
    <t xml:space="preserve">Łanięta</t>
  </si>
  <si>
    <t xml:space="preserve">Nierozłączki</t>
  </si>
  <si>
    <t xml:space="preserve">1977-12-20</t>
  </si>
  <si>
    <t xml:space="preserve">Orzeczenie Nr 37 Wojewody Płockiego z dnia 20 grudnia 1977 r. o uznaniu za pomnik przyrody</t>
  </si>
  <si>
    <t xml:space="preserve">1992-05-21</t>
  </si>
  <si>
    <t xml:space="preserve">Rozporządzenie Nr 8/92 Wojewody Płockiego z dnia 21 maja 1992 r. o uznaniu za pomnik przyrody</t>
  </si>
  <si>
    <t xml:space="preserve">Orzeczenie Wojewody Płockiego Nr 17 z dnia 27 listopada 1976 r. o uznaniu za pomnik przyrody</t>
  </si>
  <si>
    <t xml:space="preserve">Nowe Ostrowy</t>
  </si>
  <si>
    <t xml:space="preserve">Orzeczenie Wojewody Płockiego Nr 19 z dnia 27 listopada 1976 r.o uznaniu za pomnik przyrody</t>
  </si>
  <si>
    <t xml:space="preserve">Orzeczenie Nr 10 Wojewody Płockiego z dnia 27 listopada 1976 r. o uznaniu za pomnik przyrody</t>
  </si>
  <si>
    <t xml:space="preserve">Oporów</t>
  </si>
  <si>
    <t xml:space="preserve">1987-01-09</t>
  </si>
  <si>
    <t xml:space="preserve">Zarządzenie Nr 1/87 Wojewody Płockiego z dnia 9 stycznia 1987 r</t>
  </si>
  <si>
    <t xml:space="preserve">Orzeczenie Nr 11 Wojewody Płockiego z dnia 27 listopada 1976 r. o uznaniu za pomnik przyrody</t>
  </si>
  <si>
    <t xml:space="preserve">Orzeczenie Nr 12 z dnia 27 listopada 1976 r. o uznaniu za pomnik przyrody</t>
  </si>
  <si>
    <t xml:space="preserve">Żychlin</t>
  </si>
  <si>
    <t xml:space="preserve">Wojtek</t>
  </si>
  <si>
    <t xml:space="preserve">Orzeczenie Wojewody Płockiego Nr 36 z 20 grudnia 1977 r. o uznaniu za pomnik przyrody</t>
  </si>
  <si>
    <t xml:space="preserve">1988-12-12</t>
  </si>
  <si>
    <t xml:space="preserve">Buczek</t>
  </si>
  <si>
    <t xml:space="preserve">Łask</t>
  </si>
  <si>
    <t xml:space="preserve">1998-12-12</t>
  </si>
  <si>
    <t xml:space="preserve">Janusz</t>
  </si>
  <si>
    <t xml:space="preserve">2012-11-08</t>
  </si>
  <si>
    <t xml:space="preserve">Uchwała NR XXIX/286/12 Rady Miejskiej w Łasku zdnia 21 września 2012 r. w sprawie ustanowienia pomnika przyrody</t>
  </si>
  <si>
    <t xml:space="preserve">2004-04-25</t>
  </si>
  <si>
    <t xml:space="preserve">ROZPORZĄDZENIE Nr 4/2004
WOJEWODY ŁÓDZKIEGO
z dnia 31 marca 2004 r.
w sprawie uznania za pomniki przyrody.</t>
  </si>
  <si>
    <t xml:space="preserve">Rozporządzenie Nr 4/2004 Wojewody Łódzkiego z dnia 31 marca 2004 r. w sprawie uznania za pomniki przyrody</t>
  </si>
  <si>
    <t xml:space="preserve">Widawa</t>
  </si>
  <si>
    <t xml:space="preserve">Wodzierady</t>
  </si>
  <si>
    <t xml:space="preserve">Kazimierz</t>
  </si>
  <si>
    <t xml:space="preserve">2002-04-12</t>
  </si>
  <si>
    <t xml:space="preserve">Uchwała Nr 334/XLIV/2002 Rady Miasta Łęczyca z dnia 12 kwietnia 2002 r. w sprawie uznania na terenie miasta Łęczycy drzew za pomniki przyrody dotychczas nie figurujące w rejestrze pomników przyrody</t>
  </si>
  <si>
    <t xml:space="preserve">Łęczyca</t>
  </si>
  <si>
    <t xml:space="preserve">Maja</t>
  </si>
  <si>
    <t xml:space="preserve">Maria</t>
  </si>
  <si>
    <t xml:space="preserve">Orzeczenie Nr 8 z dnia 27 listopada 1976 r. o uznaniu za pomnik przyrody</t>
  </si>
  <si>
    <t xml:space="preserve">Daszyna</t>
  </si>
  <si>
    <t xml:space="preserve">1980-12-29</t>
  </si>
  <si>
    <t xml:space="preserve">Orzeczenie Nr 47 o uznaniu za pomnik przyrody z dnia 29 grudnia 1980 r.</t>
  </si>
  <si>
    <t xml:space="preserve">1992-06-23</t>
  </si>
  <si>
    <t xml:space="preserve">Góra Świętej Małgorzaty</t>
  </si>
  <si>
    <t xml:space="preserve">1991-01-15</t>
  </si>
  <si>
    <t xml:space="preserve">Rozporządzenie Nr 11/90 Wojewody Płockiego z dnia 22 listopada 1990 r. o uznaniu za pomnik przyrody</t>
  </si>
  <si>
    <t xml:space="preserve">Grabowska</t>
  </si>
  <si>
    <t xml:space="preserve">2007-08-21</t>
  </si>
  <si>
    <t xml:space="preserve">Uchwała Nr X/52/07 Rady Gminy Grabów z dnia 29 czerwca 2007 r. w sprawie ustanowienia pomnika przyrody</t>
  </si>
  <si>
    <t xml:space="preserve">Grabów</t>
  </si>
  <si>
    <t xml:space="preserve">Orzeczenie Nr 9 z dnia 27 listopada 1976 r. o uznaniu za pomnik przyrody</t>
  </si>
  <si>
    <t xml:space="preserve">1996-03-09</t>
  </si>
  <si>
    <t xml:space="preserve">Rozporządzenie Nr 6/96 Wojewody Płockiego z dnia 17 stycznia 1996 r. o uznaniu za pomniki przyrody</t>
  </si>
  <si>
    <t xml:space="preserve">2012-10-20</t>
  </si>
  <si>
    <t xml:space="preserve">Uchwała NR XX/111/2012 Rady Gminy w Łęczycy z dnia 24 sierpnia 2012 r. w sprawie ustanowienia pomnika przyrody(Dz.Urz.Woj.Łódzkiego poz.3052)</t>
  </si>
  <si>
    <t xml:space="preserve">Orzeczenie Nr 28 Wojewody Płockiego z dnia 20 grudnia 1977 r. o uznaniu za pomnik przyrody</t>
  </si>
  <si>
    <t xml:space="preserve">Orzeczenie Nr 35 Wojewody Płockiego z dnia 20 grudnia 1977 r. o uznaniu za pomnik przyrody</t>
  </si>
  <si>
    <t xml:space="preserve">1994-12-30</t>
  </si>
  <si>
    <t xml:space="preserve">Rozporządzenie Nr 23/94 Wojewody Częstochowskiego z dnia 30 grudnia 1994 r.w sprawie uznania za pomnik przyrody</t>
  </si>
  <si>
    <t xml:space="preserve">Świnice Warckie</t>
  </si>
  <si>
    <t xml:space="preserve">1988-12-30</t>
  </si>
  <si>
    <t xml:space="preserve">Zarządzenie Nr 50 Wojewody Konińskiego z dnia 21 listopada 1988 r. w sprawie uznania za pomniki przyrody</t>
  </si>
  <si>
    <t xml:space="preserve">1983-12-07</t>
  </si>
  <si>
    <t xml:space="preserve">Komunikat Wojewody Konińskiego z dnia 7 grudnia 1983 r. w sprawie uznania za pomniki przyrody(SGW-7141/17/83)</t>
  </si>
  <si>
    <t xml:space="preserve">1985-11-01</t>
  </si>
  <si>
    <t xml:space="preserve">Zarządzenie Nr 27 Wojewody Skierniewickiego z dnia 22 pażdziernika 1985 r. w sprawie uznania za pomniki przyrody</t>
  </si>
  <si>
    <t xml:space="preserve">Łowicz</t>
  </si>
  <si>
    <t xml:space="preserve">1994-03-26</t>
  </si>
  <si>
    <t xml:space="preserve">Rozporządzenie Nr 2 Wojewody Skierniewickiego z dnia 18 stycznia 1994 r. w sprawie uznania za pomniki przyrody</t>
  </si>
  <si>
    <t xml:space="preserve">Bielawy</t>
  </si>
  <si>
    <t xml:space="preserve">1905-05-24</t>
  </si>
  <si>
    <t xml:space="preserve">Obwieszczenie Dyrektora WOŚiGWz 1971</t>
  </si>
  <si>
    <t xml:space="preserve">1984-04-30</t>
  </si>
  <si>
    <t xml:space="preserve">Obwieszczenie Dyrektora Wydziału Ochrony Środowiska i Gospodarki Wodnej Urzędu Wojewódzkiego w Skierniewicach z dnia 15 czerwca 1984 r. w sprawie uznania za pomniki przyrody</t>
  </si>
  <si>
    <t xml:space="preserve">Dąb Pani Walewskiej</t>
  </si>
  <si>
    <t xml:space="preserve">Orzeczenie Nr 20 z dnia 27 listopada 1976 r. o uznaniu za pomnik przyrody</t>
  </si>
  <si>
    <t xml:space="preserve">Kiernozia</t>
  </si>
  <si>
    <t xml:space="preserve">1999-01-15</t>
  </si>
  <si>
    <t xml:space="preserve">Rozporządzenie Nr 29 Wojewody skierniewickiego z dnia 21 grudnia 1998 r. w sprawie uznania za pomniki przyrody</t>
  </si>
  <si>
    <t xml:space="preserve">Łyszkowice</t>
  </si>
  <si>
    <t xml:space="preserve">1997-09-02</t>
  </si>
  <si>
    <t xml:space="preserve">Rozporządzenie Nr 35 Wojewody Skierniewickiego z dnia 17 lipca 1997 r. w sprawie uznania za pomnik przyrody</t>
  </si>
  <si>
    <t xml:space="preserve">1990-04-01</t>
  </si>
  <si>
    <t xml:space="preserve">Zarządzenie Nr 6 Wojewody Skierniewickiego z dnia 03 marca 1990 r. w sprawie uznania za pomniki przyrody</t>
  </si>
  <si>
    <t xml:space="preserve">Zduny</t>
  </si>
  <si>
    <t xml:space="preserve">1987-01-15</t>
  </si>
  <si>
    <t xml:space="preserve">Zarządzenie Nr 29 Wojewody Skierniewickiego z dnia 31 grudnia 1986 r. w sprawie uznania za pomniki przyrody</t>
  </si>
  <si>
    <t xml:space="preserve">1992-01-15</t>
  </si>
  <si>
    <t xml:space="preserve">Rozporządzenie Nr 12/91 Wojewody Łódzkiego z dnia 16 grudnia 1991 r. w sprawie uznania niektórych tworów przyrody na terenie województwa łódzkiego za pomniki przyrody i ochrony tych pomników</t>
  </si>
  <si>
    <t xml:space="preserve">Andrespol</t>
  </si>
  <si>
    <t xml:space="preserve">1990-02-15</t>
  </si>
  <si>
    <t xml:space="preserve">Zarządzenie Nr 8/90 Prezydenta Miasta Łodzi z dnia 10 stycznia 1990 r. w sprawie uznania tworów przyrody na terenie województwa łódzkiego za pomniki przyrody i ochrony tych pomników</t>
  </si>
  <si>
    <t xml:space="preserve">Brójce</t>
  </si>
  <si>
    <t xml:space="preserve">1993-12-31</t>
  </si>
  <si>
    <t xml:space="preserve">Rozporządzenie Nr 10/93 Wojewody Łódzkiego z dnia 12 listopada 1993 r. w sprawie uznania niektórych tworów przyrody na terenie województwa łódzkiego za pomniki przyrody i ochrony tych pomników</t>
  </si>
  <si>
    <t xml:space="preserve">Koluszki</t>
  </si>
  <si>
    <t xml:space="preserve">2004-11-23</t>
  </si>
  <si>
    <t xml:space="preserve">Uchwała Nr XXII/82/04 Rady Miejskiej w Koluszkach z dnia 18 października 2004 r. w sprawie uznania drzew za pomniki przyrody</t>
  </si>
  <si>
    <t xml:space="preserve">Nowosolna</t>
  </si>
  <si>
    <t xml:space="preserve">Rzgów</t>
  </si>
  <si>
    <t xml:space="preserve">1998-03-26</t>
  </si>
  <si>
    <t xml:space="preserve">Uchwała Nr XXVI/299/98 Rady Gminy w Rzgowie z dn.26.03.1998 r. w sprawie uznania za pomniki przyrody dotychczas nie figurujące w rejestrze pomników przyrody województwa łódzkiego.</t>
  </si>
  <si>
    <t xml:space="preserve">Tuszyn</t>
  </si>
  <si>
    <t xml:space="preserve">2005-08-10</t>
  </si>
  <si>
    <t xml:space="preserve">Rozporządzenie Nr 20/2005 Wojewody Łódzkiego z dnia 13 lipca 2005 r. w sprawie uznania za pomniki przyrody</t>
  </si>
  <si>
    <t xml:space="preserve">Opoczno</t>
  </si>
  <si>
    <t xml:space="preserve">Paradyż</t>
  </si>
  <si>
    <t xml:space="preserve">Poświętne</t>
  </si>
  <si>
    <t xml:space="preserve">Dąb Siedlowski</t>
  </si>
  <si>
    <t xml:space="preserve">2015-05-28</t>
  </si>
  <si>
    <t xml:space="preserve">Uchwała Nr V/42/2015 Rady Gminy Żarnów z dnia 27 marca 2015 r. w sprawie uznania za pomnik przyrody drzewa rosnącego na terenie Gminy</t>
  </si>
  <si>
    <t xml:space="preserve">Żarnów</t>
  </si>
  <si>
    <t xml:space="preserve">Konstantynów Łódzki</t>
  </si>
  <si>
    <t xml:space="preserve">Pabianice</t>
  </si>
  <si>
    <t xml:space="preserve">2005-09-28</t>
  </si>
  <si>
    <t xml:space="preserve">Uchwała Nr LI/458/05 Rady Miejskiej w Pabianicach z dnia 28 września 2005 r.w sprawie uznania za pomnik przyrody</t>
  </si>
  <si>
    <t xml:space="preserve">2007-03-01</t>
  </si>
  <si>
    <t xml:space="preserve">Uchwała Nr IV/36/06 Rady Miejskiej w Pabianicach z dnia 27 grudnia 2006 r. w sprawie uznania dębów za pomnik przyrody</t>
  </si>
  <si>
    <t xml:space="preserve">Dłutów</t>
  </si>
  <si>
    <t xml:space="preserve">1997-05-23</t>
  </si>
  <si>
    <t xml:space="preserve">Uchwała Nr XXI/150/97 Rady Gminy w Dobroniu z dnia 25 lutego 1997 r. w sprawie uznania za pomnik przyrody dębu szypułkowego</t>
  </si>
  <si>
    <t xml:space="preserve">Ksawerów</t>
  </si>
  <si>
    <t xml:space="preserve">Lutomiersk</t>
  </si>
  <si>
    <t xml:space="preserve">Rozporządzenie Nr 47/2001 Wojewody Łódzkiego z dnia 8 sierpnia 2001 r. w sprawie uznania za pomniki przyrody</t>
  </si>
  <si>
    <t xml:space="preserve">Działoszyn</t>
  </si>
  <si>
    <t xml:space="preserve">Kiełczygłów</t>
  </si>
  <si>
    <t xml:space="preserve">Pajęczno</t>
  </si>
  <si>
    <t xml:space="preserve">Rząśnia</t>
  </si>
  <si>
    <t xml:space="preserve">Rozporządzenie Nr 45/87 Wojewody Piotrkowskiego z dnia 15 grudnia 1987 r. w sprawie uznania za pomniki przyrody</t>
  </si>
  <si>
    <t xml:space="preserve">2006-02-20</t>
  </si>
  <si>
    <t xml:space="preserve">Uchwała Nr XXXIII/3/2006 Rady Gminy Rząśnia z dn.20.02.2006 r. w sprawie ustanowienia za pomniki przyrody drzewa znajdujące się na cmentarzu w Rząśni oraz wokół kościoła pw. Św. Macieja w Rząśni</t>
  </si>
  <si>
    <t xml:space="preserve">2011-08-14</t>
  </si>
  <si>
    <t xml:space="preserve">Uchwała Nr VII/37/2011 Rady Gminy Rząśnia z dnia 14.06.2011 r. w sprawie ustanowienia za pomniki przyrody drzew znajdujących się w Stróży i w Białej</t>
  </si>
  <si>
    <t xml:space="preserve">2013-03-27</t>
  </si>
  <si>
    <t xml:space="preserve">Uchwała NR XX/143/2012 Rady Gminy Rząśnia z dnia 28 grudnia 2012 r. w sprawie ustanowienia pomnika przyrody w miejscowości Rząśnia</t>
  </si>
  <si>
    <t xml:space="preserve">Siemkowice</t>
  </si>
  <si>
    <t xml:space="preserve">1987-12-15</t>
  </si>
  <si>
    <t xml:space="preserve">Aleksandrów</t>
  </si>
  <si>
    <t xml:space="preserve">Czarnocin</t>
  </si>
  <si>
    <t xml:space="preserve">Gorzkowice</t>
  </si>
  <si>
    <t xml:space="preserve">Łęki Szlacheckie</t>
  </si>
  <si>
    <t xml:space="preserve">Moszczenica</t>
  </si>
  <si>
    <t xml:space="preserve">2006-06-21</t>
  </si>
  <si>
    <t xml:space="preserve">Uchwała Nr XXV/173/06 Rady Gminy Ręczno z dn.21.06.2006 r. w sprawie uznania za pomniki przyrody</t>
  </si>
  <si>
    <t xml:space="preserve">Ręczno</t>
  </si>
  <si>
    <t xml:space="preserve">2013-05-15</t>
  </si>
  <si>
    <t xml:space="preserve">Uchwała NR XXIV/169/2013 Rady gminy Ręczno z dnia 27 marca 2013 r. w sprawie ustanowienia pomników przyrody</t>
  </si>
  <si>
    <t xml:space="preserve">2014-04-17</t>
  </si>
  <si>
    <t xml:space="preserve">Uchwała Nr XXXIII/235/2014 Rady gminy Ręczno z dnia 27 luty 2014 r. w sprawie ustanowienia pomnika przyrody</t>
  </si>
  <si>
    <t xml:space="preserve">Rozprza</t>
  </si>
  <si>
    <t xml:space="preserve">2009-02-15</t>
  </si>
  <si>
    <t xml:space="preserve">Uchwała Nr XXIII/78/2008 Rady Gminy w Rozprzy z dnia 30 grudnia 2008 r. w sprawie ustanowienia dębu szypułkowego pomnikiem przyrody</t>
  </si>
  <si>
    <t xml:space="preserve">Sulejów</t>
  </si>
  <si>
    <t xml:space="preserve">2004-03-31</t>
  </si>
  <si>
    <t xml:space="preserve">Rozporządzenie Nr 5/2008 Wojewody Łódzkiego z dnia 25 marca 2008 r. w sprawie ustanowienia pomników przyrody</t>
  </si>
  <si>
    <t xml:space="preserve">Wola Krzysztoporska</t>
  </si>
  <si>
    <t xml:space="preserve">2001-04-20</t>
  </si>
  <si>
    <t xml:space="preserve">Uchwała Nr XXIII/202/2001 Rady Gminy w Woli Krzysztoporskiej z dnia 9 marca 2001 roku w sprawie objęcia ochroną prawną drzewa rosnącego w miejscowości Stradzew</t>
  </si>
  <si>
    <t xml:space="preserve">Wolbórz</t>
  </si>
  <si>
    <t xml:space="preserve">Rozporządzenie Wojewody Sieradzkiego 3 lutego 1998 r w sprawie uznania za pomnik przyrody</t>
  </si>
  <si>
    <t xml:space="preserve">Dalików</t>
  </si>
  <si>
    <t xml:space="preserve">Pęczniew</t>
  </si>
  <si>
    <t xml:space="preserve">Poddębice</t>
  </si>
  <si>
    <t xml:space="preserve">1995-04-25</t>
  </si>
  <si>
    <t xml:space="preserve">Rozporządzenie Wojewody Sieradzkiego z dn 21 marca 1995 r. w sprawie uznania za pomniki przyrody</t>
  </si>
  <si>
    <t xml:space="preserve">1978-07-12</t>
  </si>
  <si>
    <t xml:space="preserve">Decyzja Wojewody Konińskiego Nr RLSop-7141/20/78</t>
  </si>
  <si>
    <t xml:space="preserve">Uniejów</t>
  </si>
  <si>
    <t xml:space="preserve">Decyzja Wojewody Konińskiego Nr RLSop-7141/22/78 z dnia 12 lipca 1978 r.</t>
  </si>
  <si>
    <t xml:space="preserve">Decyzja Wojewody Konińskiego Nr RLSop-7141/24/78 z dnia 12 lipca 1978 r.</t>
  </si>
  <si>
    <t xml:space="preserve">Decyzja Wojewody Konińskiego Nr RLSop-7141/25/78 z dn.12.07.1978 r.</t>
  </si>
  <si>
    <t xml:space="preserve">Wartkowice</t>
  </si>
  <si>
    <t xml:space="preserve">Zadzim</t>
  </si>
  <si>
    <t xml:space="preserve">Radomsko</t>
  </si>
  <si>
    <t xml:space="preserve">Dobryszyce</t>
  </si>
  <si>
    <t xml:space="preserve">1996-02-06</t>
  </si>
  <si>
    <t xml:space="preserve">Rozporządzenie Nr 4/96 Wojewody Częstochowskiego z dnia 6 lutego 1996 r. zmieniające rozporządzenie w sprawie uznania za pomnik przyrody</t>
  </si>
  <si>
    <t xml:space="preserve">Gidle</t>
  </si>
  <si>
    <t xml:space="preserve">Dyzio</t>
  </si>
  <si>
    <t xml:space="preserve">2005-12-03</t>
  </si>
  <si>
    <t xml:space="preserve">Uchwała Nr XXX/189/05 Rady Gminy w Gidlach z dn.20.10.2005 r. w sprawie uznania za pomnik przyrody</t>
  </si>
  <si>
    <t xml:space="preserve">Dąb Niepodległości</t>
  </si>
  <si>
    <t xml:space="preserve">2006-10-17</t>
  </si>
  <si>
    <t xml:space="preserve">Uchwała Nr XXXVIII/235/06 Rady Gminy w Gidlach z dn.31.08.2006 r. w sprawie uznania za pomniki przyrody</t>
  </si>
  <si>
    <t xml:space="preserve">Dąb Wolności</t>
  </si>
  <si>
    <t xml:space="preserve">2002-10-01</t>
  </si>
  <si>
    <t xml:space="preserve">Uchwała Nr XLII/205/2002 Rady Gminy w Gomunicach z dnia 9 sierpnia 2002 r. w sprawie uznania za pomniki przyrody</t>
  </si>
  <si>
    <t xml:space="preserve">Gomunice</t>
  </si>
  <si>
    <t xml:space="preserve">Kamieńsk</t>
  </si>
  <si>
    <t xml:space="preserve">2003-08-09</t>
  </si>
  <si>
    <t xml:space="preserve">Uchwała Nr XI/118/03 Rady Miejskiej w Kamieńsku z dnia 27 czerwca 2003 r. w sprawie uznania za pomniki przyrody</t>
  </si>
  <si>
    <t xml:space="preserve">Aleksander</t>
  </si>
  <si>
    <t xml:space="preserve">Jan</t>
  </si>
  <si>
    <t xml:space="preserve">Masłowice</t>
  </si>
  <si>
    <t xml:space="preserve">2008-10-22</t>
  </si>
  <si>
    <t xml:space="preserve">Uchwała Nr XXVIII/163/08 Rady Miejskiej w Przedborzu z dn.29.08.2008 r. w sprawie ustanowienia pomników przyrody</t>
  </si>
  <si>
    <t xml:space="preserve">Przedbórz</t>
  </si>
  <si>
    <t xml:space="preserve">2012-05-12</t>
  </si>
  <si>
    <t xml:space="preserve">Uchwała NR XX/136/12 Rady Miejskiej w Przedborzu z dnia 30 marca 2012 r. w sprawie ustanowienia pomników przyrody</t>
  </si>
  <si>
    <t xml:space="preserve">Wielgomłyny</t>
  </si>
  <si>
    <t xml:space="preserve">Żytno</t>
  </si>
  <si>
    <t xml:space="preserve">1998-06-10</t>
  </si>
  <si>
    <t xml:space="preserve">Rozporządzenie Nr 11 Wojewody Skierniewickiego z dnia 7 maja 1998 r. w sprawie uznania za pomniki przyrody</t>
  </si>
  <si>
    <t xml:space="preserve">Rawa Mazowiecka</t>
  </si>
  <si>
    <t xml:space="preserve">Uchwała Nr V/25/15 Rady Miasta Rawa Mazowieckaz dn. 4 marca 2015 r. w sprawie pomników przyrody</t>
  </si>
  <si>
    <t xml:space="preserve">1986-01-15</t>
  </si>
  <si>
    <t xml:space="preserve">Zarządzenie Nr 1 Wojewody skierniewickiego z dnia 25 stycznia 1986 r. w sprawie uznania za pomniki przyrody</t>
  </si>
  <si>
    <t xml:space="preserve">Biała Rawska</t>
  </si>
  <si>
    <t xml:space="preserve">Grupa dębów szypułkowych w Babsku</t>
  </si>
  <si>
    <t xml:space="preserve">1982-01-01</t>
  </si>
  <si>
    <t xml:space="preserve">Decyzja Dyrektora Wydziału RGŻiL z 1981 r.</t>
  </si>
  <si>
    <t xml:space="preserve">Babska aleja lipowa</t>
  </si>
  <si>
    <t xml:space="preserve">Rozporządzenie Nr 31 Wojewody Skierniewickiego z dnia 17 lipca 1997 r. w sprawie uznania za pomnik przyrody</t>
  </si>
  <si>
    <t xml:space="preserve">Rozporządzenie Nr 34 Wojewody Skierniewickiego z dnia 17 lipca 1997 r. w sprawie uznania za pomnik przyrody</t>
  </si>
  <si>
    <t xml:space="preserve">Cielądz</t>
  </si>
  <si>
    <t xml:space="preserve">Aleja Lipowo- Kasztanowcowa</t>
  </si>
  <si>
    <t xml:space="preserve">Rozporządzenie Nr 22 Wojewody skierniewickiego z dnia 17 lipca 1997 r. w sprawie uznania za pomnik przyrody</t>
  </si>
  <si>
    <t xml:space="preserve">Decyzja Dyrektor Wydziału OśiGW</t>
  </si>
  <si>
    <t xml:space="preserve">Rozporządzenie Nr 26 Wojewody skierniewickiego z dnia 17 lipca 1997 r. w sprawie uznania za pomnik przyrody</t>
  </si>
  <si>
    <t xml:space="preserve">Rozporządzenie Nr 27 Wojewody skierniewickiego z dnia 17 lipca 1997 r. w sprawie uznania za pomnik przyrody</t>
  </si>
  <si>
    <t xml:space="preserve">1988-03-10</t>
  </si>
  <si>
    <t xml:space="preserve">Zarządzenie Nr 6 Wojewody Skierniewickiego z dn.24.02.1988 r. w sprawie uznania za pomniki przyrody</t>
  </si>
  <si>
    <t xml:space="preserve">Regnów</t>
  </si>
  <si>
    <t xml:space="preserve">1985-02-01</t>
  </si>
  <si>
    <t xml:space="preserve">Zarządzenie Nr 3 Wojewody Skierniewickiego z dnia 15 stycznia 1985 r. w sprawie uznania za pomniki przyrody</t>
  </si>
  <si>
    <t xml:space="preserve">Sadkowice</t>
  </si>
  <si>
    <t xml:space="preserve">Rozporządzenie Nr 30 Wojewody skierniewickiego z dnia 17 lipca 1997 r. w sprawie uznania za pomnik przyrody</t>
  </si>
  <si>
    <t xml:space="preserve">Sieradz</t>
  </si>
  <si>
    <t xml:space="preserve">Uchwała nr XV/118/2015 Rady Miejskiej w Sieradzu z dnia 17 grudnia 2015 r. </t>
  </si>
  <si>
    <t xml:space="preserve">Błaszki</t>
  </si>
  <si>
    <t xml:space="preserve">Brąszewice</t>
  </si>
  <si>
    <t xml:space="preserve">Brzeźnio</t>
  </si>
  <si>
    <t xml:space="preserve">Bogumił</t>
  </si>
  <si>
    <t xml:space="preserve">Henryk</t>
  </si>
  <si>
    <t xml:space="preserve">Burzenin</t>
  </si>
  <si>
    <t xml:space="preserve">2009-08-26</t>
  </si>
  <si>
    <t xml:space="preserve">Rozporządzenie Nr 14/2009 Wojewody Łódzkiego z dnia 30 lipca 2009 r. w sprawie uznania za pomniki przyrody</t>
  </si>
  <si>
    <t xml:space="preserve">Źródło Niechmirów</t>
  </si>
  <si>
    <t xml:space="preserve">2006-02-07</t>
  </si>
  <si>
    <t xml:space="preserve">Uchwała Nr XXXVI/227/05 Rady Gminy Burzenin z dnia 28 grudnia 2005 r. w sprawie uznania za pomnik przyrody</t>
  </si>
  <si>
    <t xml:space="preserve">Goszczanów</t>
  </si>
  <si>
    <t xml:space="preserve">Klonowa</t>
  </si>
  <si>
    <t xml:space="preserve">1994-02-15</t>
  </si>
  <si>
    <t xml:space="preserve">Uchwała Nr 166/XXVIII/93 Rady Gminy w Sieradzu z dnia 11 października 1993 r. w sprawie uznania za pomniki przyrody</t>
  </si>
  <si>
    <t xml:space="preserve">2013-08-08</t>
  </si>
  <si>
    <t xml:space="preserve">Uchwała NR XXXI/186/13 Rady Gminy Sieradz z dn.17.06.2013 r. w sprawie ustanowienia pomnika przyrody</t>
  </si>
  <si>
    <t xml:space="preserve">Warta</t>
  </si>
  <si>
    <t xml:space="preserve">Wróblew</t>
  </si>
  <si>
    <t xml:space="preserve">Złoczew</t>
  </si>
  <si>
    <t xml:space="preserve">Bolimów</t>
  </si>
  <si>
    <t xml:space="preserve">Rozporządzenie Nr 11 Wojewody skierniewickiego z dnia 7 maja 1998 r. w sprawie uznania za pomniki przyrody</t>
  </si>
  <si>
    <t xml:space="preserve">1994-02-02</t>
  </si>
  <si>
    <t xml:space="preserve">1984-12-01</t>
  </si>
  <si>
    <t xml:space="preserve">Zarządzenie Nr 43 Wojewody Skierniewickiego z dn.16.11.1984 r. w sprawie uznania za pomniki przyrody</t>
  </si>
  <si>
    <t xml:space="preserve">Głuchów</t>
  </si>
  <si>
    <t xml:space="preserve">1998-09-02</t>
  </si>
  <si>
    <t xml:space="preserve">Rozporządzenie Nr 25 Wojewody Skierniewickiego z dnia 17 lipca 1997 r. w sprawie uznania za pomnik przyrody</t>
  </si>
  <si>
    <t xml:space="preserve">Kowiesy</t>
  </si>
  <si>
    <t xml:space="preserve">1982-05-10</t>
  </si>
  <si>
    <t xml:space="preserve">Decyzja Dyrektora WOŚiGW z dn.10.05.1982 r</t>
  </si>
  <si>
    <t xml:space="preserve">Maków</t>
  </si>
  <si>
    <t xml:space="preserve">1986-12-31</t>
  </si>
  <si>
    <t xml:space="preserve">Zarządzenie Nr 27 Wojewody Skierniewickiego z dnia 31 grudnia 1986 r</t>
  </si>
  <si>
    <t xml:space="preserve">1975-03-25</t>
  </si>
  <si>
    <t xml:space="preserve">Orzecz. Dyr. WRiL w Warszawie Nr 637 z dn. 25.03.1975</t>
  </si>
  <si>
    <t xml:space="preserve">2003-07-15</t>
  </si>
  <si>
    <t xml:space="preserve">Uchwała Nr V/39/2003 Rady Gminy w Makowie z dnia 28 kwietnia 2003 r. w sprawie uznania za pomniki przyrody</t>
  </si>
  <si>
    <t xml:space="preserve">1998-03-11</t>
  </si>
  <si>
    <t xml:space="preserve">Rozporządzenie Nr 1 Wojewody Skierniewickiego z dnia 7 stycznia 1998 r. w sprawie uznania za pomniki przyrody</t>
  </si>
  <si>
    <t xml:space="preserve">1988-01-26</t>
  </si>
  <si>
    <t xml:space="preserve">Zarządzenie Nr 2 Wojewody Skierniewickiego z dnia 26 stycznia 1988 r. w sprawie uznania za pomniki przyrody</t>
  </si>
  <si>
    <t xml:space="preserve">Nowy Kawęczyn</t>
  </si>
  <si>
    <t xml:space="preserve">Rozporządzenie Nr 29 Wojewody skierniewickiego z dnia 17 lipca 1997 r. w sprawie uznania za pomniki przyrody</t>
  </si>
  <si>
    <t xml:space="preserve">1983-05-16</t>
  </si>
  <si>
    <t xml:space="preserve">Dec. Dyr. WOŚiGW z dnia 16 maja 1983 r.</t>
  </si>
  <si>
    <t xml:space="preserve">Skierniewice</t>
  </si>
  <si>
    <t xml:space="preserve">Rozporządzenie Nr 32 Wojewody Skierniewickiego z dnia 17 lipca 1997 r. w sprawie uznania za pomnik przyrody</t>
  </si>
  <si>
    <t xml:space="preserve">1987-02-15</t>
  </si>
  <si>
    <t xml:space="preserve">Zarządzenie Nr 6 Wojewody Skierniewickiego z dn.21.02.1988 r. w sprawie uznania za pomniki przyrody</t>
  </si>
  <si>
    <t xml:space="preserve">1998-03-10</t>
  </si>
  <si>
    <t xml:space="preserve">1998-12-10</t>
  </si>
  <si>
    <t xml:space="preserve">Rozporządzenie Nr 23 Wojewody skierniewickiego z dnia 21 października 1998 r. w sprawie uznania za pomniki przyrody</t>
  </si>
  <si>
    <t xml:space="preserve">Tomaszów Mazowiecki</t>
  </si>
  <si>
    <t xml:space="preserve">Będków</t>
  </si>
  <si>
    <t xml:space="preserve">Walentynów</t>
  </si>
  <si>
    <t xml:space="preserve">Budziszewice</t>
  </si>
  <si>
    <t xml:space="preserve">Czerniewice</t>
  </si>
  <si>
    <t xml:space="preserve">Dąbrówka</t>
  </si>
  <si>
    <t xml:space="preserve">Inowłódz</t>
  </si>
  <si>
    <t xml:space="preserve">1995-12-28</t>
  </si>
  <si>
    <t xml:space="preserve">Uchwała Nr XVI/105/95 Rady Gminy Inowłódz z dnia 28 grudnia 1995 r. w sprawie objęcia ochroną prawną drzew rosnących w miejscowości Spała</t>
  </si>
  <si>
    <t xml:space="preserve">Jeremi</t>
  </si>
  <si>
    <t xml:space="preserve">2012-03-06</t>
  </si>
  <si>
    <t xml:space="preserve">Uchwała NR XVI/95/2011 Rady Gminy Inowłódz z dnia 29 grudnia 2011 r. w sprawie uznania za pomniki przyrody drzew rosnących na terenie Gminy Inowłódz w Oddziałach Lasów Państwowych Nadleśnictwa Spała</t>
  </si>
  <si>
    <t xml:space="preserve">Julia</t>
  </si>
  <si>
    <t xml:space="preserve">Jakub</t>
  </si>
  <si>
    <t xml:space="preserve">Na skarpie</t>
  </si>
  <si>
    <t xml:space="preserve">Przy Marii Wielkopolskiej</t>
  </si>
  <si>
    <t xml:space="preserve">Dęby Olimpijskie</t>
  </si>
  <si>
    <t xml:space="preserve">Marysia</t>
  </si>
  <si>
    <t xml:space="preserve">Krysia</t>
  </si>
  <si>
    <t xml:space="preserve">Na szczudłach</t>
  </si>
  <si>
    <t xml:space="preserve">Maksymilian</t>
  </si>
  <si>
    <t xml:space="preserve">Maciek</t>
  </si>
  <si>
    <t xml:space="preserve">Karol</t>
  </si>
  <si>
    <t xml:space="preserve">Gniewko</t>
  </si>
  <si>
    <t xml:space="preserve">Pawełek</t>
  </si>
  <si>
    <t xml:space="preserve">Wojciech,Jakub</t>
  </si>
  <si>
    <t xml:space="preserve">Przy szkółce</t>
  </si>
  <si>
    <t xml:space="preserve">Bożydar</t>
  </si>
  <si>
    <t xml:space="preserve">Lubochnia</t>
  </si>
  <si>
    <t xml:space="preserve">Tomasz</t>
  </si>
  <si>
    <t xml:space="preserve">Agnieszka,Małgorzata</t>
  </si>
  <si>
    <t xml:space="preserve">Boguslawskiego</t>
  </si>
  <si>
    <t xml:space="preserve">Bogusławskiego</t>
  </si>
  <si>
    <t xml:space="preserve">Andrzej</t>
  </si>
  <si>
    <t xml:space="preserve">Aleja Lipy Lubocheńskie</t>
  </si>
  <si>
    <t xml:space="preserve">2008-11-17</t>
  </si>
  <si>
    <t xml:space="preserve">Aleja Lipowo-Klonowa Henryków</t>
  </si>
  <si>
    <t xml:space="preserve">2011-03-12</t>
  </si>
  <si>
    <t xml:space="preserve">Uchwała NR V/15/11 Rady Gminy Lubochnia z 28.01.2011 r. w sprawie uznania drzew za pomniki przyrody</t>
  </si>
  <si>
    <t xml:space="preserve">Oleńka</t>
  </si>
  <si>
    <t xml:space="preserve">Joasia</t>
  </si>
  <si>
    <t xml:space="preserve">Halina</t>
  </si>
  <si>
    <t xml:space="preserve">Hubert</t>
  </si>
  <si>
    <t xml:space="preserve">Rokiciny</t>
  </si>
  <si>
    <t xml:space="preserve">Kołnierzykowata</t>
  </si>
  <si>
    <t xml:space="preserve">Rzeczyca</t>
  </si>
  <si>
    <t xml:space="preserve">1998-08-29</t>
  </si>
  <si>
    <t xml:space="preserve">Ujazd</t>
  </si>
  <si>
    <t xml:space="preserve">Biała</t>
  </si>
  <si>
    <t xml:space="preserve">Czarnożyły</t>
  </si>
  <si>
    <t xml:space="preserve">Konopnica</t>
  </si>
  <si>
    <t xml:space="preserve">Mokrsko</t>
  </si>
  <si>
    <t xml:space="preserve">Osjaków</t>
  </si>
  <si>
    <t xml:space="preserve">2012-01-30</t>
  </si>
  <si>
    <t xml:space="preserve">Uchwała NR XV/62/2012 Rady Gminy Osjaków z dnia 30 stycznia 2012 r. w sprawie uznania drzew za pomniki przyrody w miejscowości Osjaków na działce nr 215</t>
  </si>
  <si>
    <t xml:space="preserve">Ostrówek</t>
  </si>
  <si>
    <t xml:space="preserve">Pątnów</t>
  </si>
  <si>
    <t xml:space="preserve">Skomlin</t>
  </si>
  <si>
    <t xml:space="preserve">Wieluń</t>
  </si>
  <si>
    <t xml:space="preserve">1993-04-27</t>
  </si>
  <si>
    <t xml:space="preserve">Uchwała Nr XXI/136/93 Rady gminy w Wierzchlasie z dnia 27 kwietnia 1993 r. w sprawie uznania za pomnik przyrody</t>
  </si>
  <si>
    <t xml:space="preserve">Wierzchlas</t>
  </si>
  <si>
    <t xml:space="preserve">Góra św. Genowefy</t>
  </si>
  <si>
    <t xml:space="preserve">2004-12-31</t>
  </si>
  <si>
    <t xml:space="preserve">Uchwała Nr XVIII/134/2004 r. Rady Gminy Wierzchlas z dnia 26 listopada 2004 r. w sprawie uznania za pomnik przyrody</t>
  </si>
  <si>
    <t xml:space="preserve">Źródło Św. Floriana</t>
  </si>
  <si>
    <t xml:space="preserve">2008-09-16</t>
  </si>
  <si>
    <t xml:space="preserve">Uchwała Nr XVII/107/2008 Rady gminy Wierzchlas z dnia 7 sierpnia 2008 r. w sprawie uznania za pomnik przyrody</t>
  </si>
  <si>
    <t xml:space="preserve">1978-04-03</t>
  </si>
  <si>
    <t xml:space="preserve">Dec. Woj. Kaliskiego z dn. 03.04.1978</t>
  </si>
  <si>
    <t xml:space="preserve">Czastary</t>
  </si>
  <si>
    <t xml:space="preserve">Mikołąj</t>
  </si>
  <si>
    <t xml:space="preserve">Łubnice</t>
  </si>
  <si>
    <t xml:space="preserve">1959-07-25</t>
  </si>
  <si>
    <t xml:space="preserve">Ogłoszenie Wydziału Rolnictwa i Leśnictwa Prezydium Wojwódzkiej Rady Narodowej z dnia 25 lipca 1959 r. o uznaniu niektórych drzew za pomniki przyrody</t>
  </si>
  <si>
    <t xml:space="preserve">Sokolniki</t>
  </si>
  <si>
    <t xml:space="preserve">1978-05-06</t>
  </si>
  <si>
    <t xml:space="preserve">Decyzja Wojewody Kaliskiego</t>
  </si>
  <si>
    <t xml:space="preserve">Ogłoszenie nr 305 z dnia 6. V.1978 r.w sprawie uznania za pomniki przyrody</t>
  </si>
  <si>
    <t xml:space="preserve">2001-03-20</t>
  </si>
  <si>
    <t xml:space="preserve">Uchwała Nr XV/120/2001 Rady Gminy Sokolniki z dnia 20 marca 2001 r. w sprawie uznania za pomnik przyrody</t>
  </si>
  <si>
    <t xml:space="preserve">Bartek II</t>
  </si>
  <si>
    <t xml:space="preserve">1978-04-30</t>
  </si>
  <si>
    <t xml:space="preserve">Decyzja Urzędu Wojewódzkiego w Kaliszu Wydział Rolnictwa, Leśnictwa i Skupu Nr rej. Woj. 347</t>
  </si>
  <si>
    <t xml:space="preserve">Wieruszów</t>
  </si>
  <si>
    <t xml:space="preserve">2000-04-18</t>
  </si>
  <si>
    <t xml:space="preserve">Uchwała Nr XXVII/205/2000 Rady Miejskiej w Wieruszowie z dn.18.04.2000 r. w sprawie uznania za pomnik przyrody</t>
  </si>
  <si>
    <t xml:space="preserve">2001-08-08</t>
  </si>
  <si>
    <t xml:space="preserve">Zduńska Wola</t>
  </si>
  <si>
    <t xml:space="preserve">1996-02-13</t>
  </si>
  <si>
    <t xml:space="preserve">Uchwała Nr XIX/130/95 Rady Miejskiej w Zduńskiej Woli z dnia 30 listopada 1995 r. w sprawie uznania za Pomnik Przyrody</t>
  </si>
  <si>
    <t xml:space="preserve">Uchwała Nr XXXIX/367/05 Rady Miasta Zduńska Wola z dn.30.06.2005 r. w sprawie ustanowienia pomników przyrody na terenie Miasta Zduńska Wola</t>
  </si>
  <si>
    <t xml:space="preserve">Uchwała Nr XXXIX/367/05 Rady Miasta Zduńska Wola z dnia 30 czerwca 2005 r. w sprawie ustanowienia pomników przyrody na terenie Miasta Zduńska Wola</t>
  </si>
  <si>
    <t xml:space="preserve">Szadek</t>
  </si>
  <si>
    <t xml:space="preserve">1977-08-17</t>
  </si>
  <si>
    <t xml:space="preserve">Decyzja Nr 82 Wojewody Sieradzkiego z dnia 17 sierpnia 1977 r. w sprawie uznania za pomnik przyrody</t>
  </si>
  <si>
    <t xml:space="preserve">Zapolice</t>
  </si>
  <si>
    <t xml:space="preserve">1979-03-26</t>
  </si>
  <si>
    <t xml:space="preserve">Decyzja Nr 48 Wojewody Sieradzkiego z dnia 26 marca 1979 r. w sprawie uznania za pomnik przyrody</t>
  </si>
  <si>
    <t xml:space="preserve">1989-07-01</t>
  </si>
  <si>
    <t xml:space="preserve">Zarządzenie Nr 19 Wojewody Sieradzkiego z dnia 5 czerwca 1989 r. w sprawie uznania za pomnik przyrody</t>
  </si>
  <si>
    <t xml:space="preserve">Głowno</t>
  </si>
  <si>
    <t xml:space="preserve">Ozorków</t>
  </si>
  <si>
    <t xml:space="preserve">Ferdynand</t>
  </si>
  <si>
    <t xml:space="preserve">Matylda</t>
  </si>
  <si>
    <t xml:space="preserve">Szymon</t>
  </si>
  <si>
    <t xml:space="preserve">Johann</t>
  </si>
  <si>
    <t xml:space="preserve">Karol Wacław</t>
  </si>
  <si>
    <t xml:space="preserve">Ignacy</t>
  </si>
  <si>
    <t xml:space="preserve">Sukiennik</t>
  </si>
  <si>
    <t xml:space="preserve">Urszula</t>
  </si>
  <si>
    <t xml:space="preserve">Fryderyk</t>
  </si>
  <si>
    <t xml:space="preserve">Bartłomiej</t>
  </si>
  <si>
    <t xml:space="preserve">Samuel</t>
  </si>
  <si>
    <t xml:space="preserve">2005-07-16</t>
  </si>
  <si>
    <t xml:space="preserve">Uchwałą Nr XXXVIII/302/05 Rady Miejskiej w Ozorkowie z dnia 25 maja 2005 roku w sprawie ustanowienia pomników przyrody</t>
  </si>
  <si>
    <t xml:space="preserve">Prawdzic</t>
  </si>
  <si>
    <t xml:space="preserve">Ślepowron</t>
  </si>
  <si>
    <t xml:space="preserve">Boruta</t>
  </si>
  <si>
    <t xml:space="preserve">Stypułkowski</t>
  </si>
  <si>
    <t xml:space="preserve">Wacław</t>
  </si>
  <si>
    <t xml:space="preserve">Strzelec</t>
  </si>
  <si>
    <t xml:space="preserve">Tur</t>
  </si>
  <si>
    <t xml:space="preserve">Adolf</t>
  </si>
  <si>
    <t xml:space="preserve">Wawrzyniec</t>
  </si>
  <si>
    <t xml:space="preserve">Tadeusz</t>
  </si>
  <si>
    <t xml:space="preserve">Aleksandrów Łódzki</t>
  </si>
  <si>
    <t xml:space="preserve">1978-11-11</t>
  </si>
  <si>
    <t xml:space="preserve">Orzeczenie Nr 9 o uznaniu za pomnik przyrody</t>
  </si>
  <si>
    <t xml:space="preserve">1983-10-24</t>
  </si>
  <si>
    <t xml:space="preserve">Orzeczenie Nr 68</t>
  </si>
  <si>
    <t xml:space="preserve">Orzeczenie Nr 69</t>
  </si>
  <si>
    <t xml:space="preserve">1992-01-01</t>
  </si>
  <si>
    <t xml:space="preserve">Ania</t>
  </si>
  <si>
    <t xml:space="preserve">Radek, Tomek, Kasia,Feliks</t>
  </si>
  <si>
    <t xml:space="preserve">Parzęczew</t>
  </si>
  <si>
    <t xml:space="preserve">Stryków</t>
  </si>
  <si>
    <t xml:space="preserve">Niesułkowskie lipy</t>
  </si>
  <si>
    <t xml:space="preserve">1998-12-16</t>
  </si>
  <si>
    <t xml:space="preserve">Uchwała Nr III/21/98 Rady Miejskiej w Strykowie z dnia 16 grudnia 1998 roku w sprawie uznania za pomnik przyrody drzewa nie znajdującego się w rejestrze pomników przyrody Wojewody Łódzkiego</t>
  </si>
  <si>
    <t xml:space="preserve">2002-11-19</t>
  </si>
  <si>
    <t xml:space="preserve">Uchwała Nr XLVIII/333/2002 Rady Miejskiej w Strykowie z dnia 25 września 2002 roku w sprawie uznania za pomnik przyrody drzewa nie znajdującego się w rejestrze pomników przyrody Wojewody Łódzkiego</t>
  </si>
  <si>
    <t xml:space="preserve">2003-11-27</t>
  </si>
  <si>
    <t xml:space="preserve">Uchwała Nr XII/94/2003 Rady Miejskiej w Strykowie z dnia 29 września 2003 roku w sprawie uznania za pomniki przyrody drzew nie znajdujących się w rejestrze pomników przyrody Wojewody Łódzkiego</t>
  </si>
  <si>
    <t xml:space="preserve">1997-10-10</t>
  </si>
  <si>
    <t xml:space="preserve">Uchwała Nr XLI/294/97 Rady Miejskiej w Strykowie z dnia 10 października 1997 roku w sprawie uznania za pomniki przyrody drzew nie znajdujących się w rejestrze pomników przyrody Wojewody Łódzkiego</t>
  </si>
  <si>
    <t xml:space="preserve">Aleja Dębowa</t>
  </si>
  <si>
    <t xml:space="preserve">1998-04-29</t>
  </si>
  <si>
    <t xml:space="preserve">Uchwała Nr XLVII/347/98 Rady Miejskiej w Strykowie z dnia 29 kwietnia 1998 r. w sprawie uznania za pomniki przyrody drzew tworzących „Aleję Dębową”</t>
  </si>
  <si>
    <t xml:space="preserve">2000-09-28</t>
  </si>
  <si>
    <t xml:space="preserve">Uchwała Nr XXV/260/00 Rady gminy Zgierz z dn.28.09.2000 r w sprawie uznania za pomniki przyrody dotychczas nie figurujące w rejestrze pomników przyrody województwa łódzkiego</t>
  </si>
  <si>
    <t xml:space="preserve">Zgierz</t>
  </si>
  <si>
    <t xml:space="preserve">1996-12-20</t>
  </si>
  <si>
    <t xml:space="preserve">Uchwała Nr XXVI/297/96 Rady Gminy Zgierz z dn. 20.12.1996 r w sprawie uznania za pomniki przyrody dotychczas nie figurujące w rejestrze pomników przyrody województwa łódzkiego</t>
  </si>
  <si>
    <t xml:space="preserve">1995-12-18</t>
  </si>
  <si>
    <t xml:space="preserve">Uchwała Nr XV/161/95 Rady Gminy Zgierz z dnia 18 grudnia 1995 r w sprawie uznania za pomniki przyrody dotychczas nie figurujące w rejestrze pomników przyrody województwa łódzkiego</t>
  </si>
  <si>
    <t xml:space="preserve">Brzeziny</t>
  </si>
  <si>
    <t xml:space="preserve">1988-03-11</t>
  </si>
  <si>
    <t xml:space="preserve">2003-04-29</t>
  </si>
  <si>
    <t xml:space="preserve">Uchwała Nr VI/52/2003 Rady Gminy Brzeziny z dn. 29.04.2003 r. w sprawie uznania drzew za pomniki przyrody</t>
  </si>
  <si>
    <t xml:space="preserve">2004-12-29</t>
  </si>
  <si>
    <t xml:space="preserve">Uchwała nr XXI/167/2004 Rady Gm. Brzeziny z dn. 29 grudnia 2004 r. w sprawie objęcia ochroną w formie pomnika lipy drobnolistnej rosnącej w Poćwiardówce na terenie gminy Brzeziny</t>
  </si>
  <si>
    <t xml:space="preserve">Dmosin</t>
  </si>
  <si>
    <t xml:space="preserve">1972-09-28</t>
  </si>
  <si>
    <t xml:space="preserve">Orzeczenie Kierownika WRiL.PWRN w W-wie Nr 215</t>
  </si>
  <si>
    <t xml:space="preserve">1990-04-02</t>
  </si>
  <si>
    <t xml:space="preserve">Jeżów</t>
  </si>
  <si>
    <t xml:space="preserve">1997-07-17</t>
  </si>
  <si>
    <t xml:space="preserve">Rozporządzenie Nr 20 Wojewody Skierniewickiego z dnia 17 lipca 1997 r. w sprawie uznania za pomnik przyrody(Dz.Urz.Woj.Skierniewickiego Nr 16, poz. 90)</t>
  </si>
  <si>
    <t xml:space="preserve">Rogów</t>
  </si>
  <si>
    <t xml:space="preserve">1958-01-01</t>
  </si>
  <si>
    <t xml:space="preserve">Obwieszczenie PWRN z 1958</t>
  </si>
  <si>
    <t xml:space="preserve">1983-01-26</t>
  </si>
  <si>
    <t xml:space="preserve">Łódź</t>
  </si>
  <si>
    <t xml:space="preserve">Kosynier</t>
  </si>
  <si>
    <t xml:space="preserve">1990-01-10</t>
  </si>
  <si>
    <t xml:space="preserve">Uchwałą Nr XCI/1612/10 Rady Miejskiej w Łodzi z dnia 7 lipca 2010 r. w sprawie ustalenia zasad ochrony dla ustanowionych pomników przyrody oraz zniesienia ochrony prawnej w odniesieniu do niektórych obiektów</t>
  </si>
  <si>
    <t xml:space="preserve">2001-09-05</t>
  </si>
  <si>
    <t xml:space="preserve">Uchwałę Nr LXV/1485/01 Rady Miejskiej w Łodzi z dn.05.09.2001 r. w sprawie uznania drzew za pomniki przyrody</t>
  </si>
  <si>
    <t xml:space="preserve">Zarządzenie Nr 8/90 Prezydenta Miasta Łodzi z dnia 10 stycznia 1990 r. w sprawie uznania tworów przyrody na terenie województwa Łódzkiego za pomniki przyrody i ochrony tych pomników</t>
  </si>
  <si>
    <t xml:space="preserve">Rozporządzenie Nr 12/91 Wojewody Łódzkiego z dnia 16 grudnia 1991 r. w sprawie uznania niektórych tworów przyrody na terenie województwa łódzkiego</t>
  </si>
  <si>
    <t xml:space="preserve">1991-12-16</t>
  </si>
  <si>
    <t xml:space="preserve">Włodek</t>
  </si>
  <si>
    <t xml:space="preserve">2004-12-26</t>
  </si>
  <si>
    <t xml:space="preserve">Uchwała Nr XXXVIII/699/04 Rady Miejskiej w Łodzi z dnia 27 października 2004 r. w sprawie ustanowienia pomników przyrody</t>
  </si>
  <si>
    <t xml:space="preserve">Sofora chińska</t>
  </si>
  <si>
    <t xml:space="preserve">2008-11-13</t>
  </si>
  <si>
    <t xml:space="preserve">Uchwała Nr XLI/823/08 Rady Miejskiej w Łodzi z dnia 8 października 2008 r. w sprawie ustanowienia pomników przyrody</t>
  </si>
  <si>
    <t xml:space="preserve">2008-10-08</t>
  </si>
  <si>
    <t xml:space="preserve">2013-12-26</t>
  </si>
  <si>
    <t xml:space="preserve">Uchwała NR LXXV/1555/13 Rady Miejskiej w Łodzi z dnia 13 listopada 2013 r. w sprawie ustanowienia pomników przyrody</t>
  </si>
  <si>
    <t xml:space="preserve">2015-03-18</t>
  </si>
  <si>
    <t xml:space="preserve">Uchwała Nr VIII/150/15 Rady miejskiej w Łodzi z dnia 18 marca 2015 r. w sprawie ustanowienia pomników przyrody</t>
  </si>
  <si>
    <t xml:space="preserve">Aleja klonów srebrzystych</t>
  </si>
  <si>
    <t xml:space="preserve">Piotrków Trybunalski</t>
  </si>
  <si>
    <t xml:space="preserve">Rozporządzenie nr 4/96 Wojewody Piotrkowskiego z dnia 4 listopada1996 roku w sprawie uznania za pomniki przyrody</t>
  </si>
  <si>
    <t xml:space="preserve">2004-01-16</t>
  </si>
  <si>
    <t xml:space="preserve">Uchwała Nr XIII/198/03 Rady Miasta w Piotrkowie Trybunalskim z dnia 26 listopada 2003 roku w sprawie uznania drzew za pomniki przyrody</t>
  </si>
  <si>
    <t xml:space="preserve">1999-01-05</t>
  </si>
  <si>
    <t xml:space="preserve">Rozporządzenie Nr 28 Wojewody skierniewickiego z dnia 7 grudnia 1998 r. w sprawie uznania za pomniki przyrody</t>
  </si>
  <si>
    <t xml:space="preserve">1998-01-07</t>
  </si>
  <si>
    <t xml:space="preserve">2015-04-29</t>
  </si>
  <si>
    <t xml:space="preserve">Uchwała Nr VIII/150/15 Rady Miejskiej w Łodzi z dnia 18 marca 2015 r. w sprawie ustanowienia pomników przyrody</t>
  </si>
  <si>
    <t xml:space="preserve"> Uchwała Nr VIII/150/15 Rady Miejskiej w Łodzi z dnia 18 marca 2015 r. w sprawie ustanowienia pomników przyrody </t>
  </si>
  <si>
    <t xml:space="preserve">2015-07-22</t>
  </si>
  <si>
    <t xml:space="preserve">Uchwała nr X/72/2015 Rady Gminu Zduńska Wola z dnia 28 maja 2015 r. w sprawie ustanowienia pomnika przyrody</t>
  </si>
  <si>
    <t xml:space="preserve">2016-03-09</t>
  </si>
  <si>
    <t xml:space="preserve">Uchwała Nr XXIII/558/16 Rady Miejskiej w Łodzi z dnia 20 stycznia 2016 r. w sprawie ustanowienia pomników przyrody</t>
  </si>
  <si>
    <t xml:space="preserve">Dąb Tadeusz</t>
  </si>
  <si>
    <t xml:space="preserve">2016-03-08</t>
  </si>
  <si>
    <t xml:space="preserve">Uchwała Nr XIV/140/2016 Rady Miejskiej w Zelowie z dnia 29 stycznia 2016r. w sprawie ustanowienia pomnika przyrody</t>
  </si>
  <si>
    <t xml:space="preserve">Zarządzenie Nr 8/90 Prezydenta Miasta Łodzi z dnia 10 stycznia 1990
r. w sprawie uznania tworów przyrody na terenie województwa
łódzkiego za pomniki przyrody i ochrony tych pomników
</t>
  </si>
  <si>
    <t xml:space="preserve">Rozporządzenie Nr 10/93 Wojewody Łódzkiego z dnia 12 listopada
1993 r. w sprawie uznania niektórych tworów przyrody na terenie
województwa łódzkiego za pomniki przyrody i ochrony tych pomników</t>
  </si>
  <si>
    <t xml:space="preserve">Rozporządzenie Nr 10/93 Wojewody Łódzkiego z dnia 12 listopada
1993 r. w sprawie uznania niektórych tworów przyrody na terenie
województwa łódzkiego za pomniki przyrody i ochrony tych pomników
</t>
  </si>
  <si>
    <t xml:space="preserve">Uchwała Nr LXV/1485/01 Rady Miejskiej w Łodzi z dn.05.09.2001 r. w sprawie uznania drzew za pomniki przyrody</t>
  </si>
  <si>
    <t xml:space="preserve">2008-08-07</t>
  </si>
  <si>
    <t xml:space="preserve">Uchwała Nr XXXIV/662/08 Rady Miejskiej w Łodzi z dnia 11 czerwca 2008 r. w sprawie ustanowienia pomników przyrody</t>
  </si>
  <si>
    <t xml:space="preserve">Uchwała Nr XXXIV/662/08 Rady Miejskiej w Łodzi z dnia 11 czerwca
2008 r. w sprawie ustanowienia pomników przyrody
</t>
  </si>
  <si>
    <t xml:space="preserve">Uchwała Nr XXXIV/662/08 Rady Miejskiej w Łodzi z dnia 11 czerwca
2008 r. w sprawie ustanowienia pomników przyrody</t>
  </si>
  <si>
    <t xml:space="preserve">2016-12-22</t>
  </si>
  <si>
    <t xml:space="preserve">Uchwała Nr XXXVII/981/16 Rady Miejskiej w Łodzi z dnia 16 listopada 2016 r. w sprawie ustanowienia pomników przyrody</t>
  </si>
  <si>
    <t xml:space="preserve">Rozporzadzenie Nr 20/2005 Wojewody Łódzkiego z dnia 13 lipca 2005
r. w sprawie uznania za pomniki przyrody</t>
  </si>
  <si>
    <t xml:space="preserve">2016-04-19</t>
  </si>
  <si>
    <t xml:space="preserve">Uchwała Nr XXIV/118/16 Rady Gminy Grabów z dnia 14 marca 2016 r.  w sprawie ustanowienia pomnika przyrody.</t>
  </si>
  <si>
    <t xml:space="preserve">2017-03-30</t>
  </si>
  <si>
    <t xml:space="preserve">Uchwała Nr XLII/1085/17 Rady Miejskiej w Łodzi z dnia 22 lutego 2017 r. w sprawie ustanowienia pomnika przyrody</t>
  </si>
  <si>
    <t xml:space="preserve">Buk nad strugą</t>
  </si>
  <si>
    <t xml:space="preserve">2017-03-08</t>
  </si>
  <si>
    <t xml:space="preserve">Uchwała Nr XXV/179/17
Rady Gminy Pątnów
z dnia 31 stycznia 2017 r.
w sprawie ustanowienia pomnika przyrody</t>
  </si>
  <si>
    <t xml:space="preserve">Sosna Smukła</t>
  </si>
  <si>
    <t xml:space="preserve">2017-06-01</t>
  </si>
  <si>
    <t xml:space="preserve">Uchwała rady Gminy Pątnów Nr XXVII/195/17 z dnia 26 kwietnia 2017 w sprawie ustanowienia pomników przyrody</t>
  </si>
  <si>
    <t xml:space="preserve">Bursztynka</t>
  </si>
  <si>
    <t xml:space="preserve">Uchwała rady Gminy Pątnów Nr XXVII/195/17 z dnia 26 kwietnia 2017 r. w sprawie ustanowienia pomników przyrody</t>
  </si>
  <si>
    <t xml:space="preserve">Skrzat</t>
  </si>
  <si>
    <t xml:space="preserve">Dąb Janek</t>
  </si>
  <si>
    <t xml:space="preserve">Uchwała Rady Gminy Pątnów Nr XXVII/195/17 z dnia 26 kwietnia 2017 r. w sprawie ustanowienia pomników przyrody</t>
  </si>
  <si>
    <t xml:space="preserve">Kocierzew Południowy</t>
  </si>
  <si>
    <t xml:space="preserve">2017-12-02</t>
  </si>
  <si>
    <t xml:space="preserve">UCHWAŁA NR XXX/186/2017 RADY GMINY SKIERNIEWICE
z dnia 27 października 2017 r.
w sprawie pomników przyrody na terenie gminy Skierniewice</t>
  </si>
  <si>
    <t xml:space="preserve">2018-05-24</t>
  </si>
  <si>
    <t xml:space="preserve">Uchwała Nr LXX/1817/18 Rady Miejskiej w Łodzi z dnia 18 kwietnia 2018 r. w sprawie ustanowienia pomników przyrody</t>
  </si>
  <si>
    <t xml:space="preserve">2016-08-04</t>
  </si>
  <si>
    <t xml:space="preserve">Uchwała Nr XXIII/185/16 Rady Miejskiej w Białej Rawskiej</t>
  </si>
  <si>
    <t xml:space="preserve">2018-04-21</t>
  </si>
  <si>
    <t xml:space="preserve">UCHWAŁA NR XXXVII/ 233/ 2018
RADY GMINY SIERADZ
z dnia 16 marca 2018 r.
w sprawie ustanowienia pomnika przyrody</t>
  </si>
  <si>
    <t xml:space="preserve">Rozporządzenie Wojewody Sieradzkiego z dnia 3 lutego 1998 r. w
sprawie uznania za pomnik przyrody</t>
  </si>
  <si>
    <t xml:space="preserve">2018-07-28</t>
  </si>
  <si>
    <t xml:space="preserve">Uchwała Nr LIX/668/18 Rady Miasta Zduńska Wola z dnia 22 czerwca 2018 r w sprawie ustanowienia pomników przyrody na terenie miasta Zduńska Wola</t>
  </si>
  <si>
    <t xml:space="preserve">Uchwała nr LIX/668/18 Rady Miasta Zduńska Wola z dnia 22 czerwca 2018 r w sprawie ustanowienia pomników przyrody na terenie miasta Zdunska Wola</t>
  </si>
  <si>
    <t xml:space="preserve">Uchwała Nr LIX/668/18 z dnia 22 czerwca 2018 r w sprawie ustanowienia pomników przyrody na terenie miasta Zduńska Wola</t>
  </si>
  <si>
    <t xml:space="preserve">Dąbrowa Niepodległości</t>
  </si>
  <si>
    <t xml:space="preserve">2018-12-07</t>
  </si>
  <si>
    <t xml:space="preserve">UCHWAŁA
 NR XLVI/256/2018
RADY GMINY BOLIMÓW
z dnia 19 
października
 2018 r.
w sprawie ustanowienia pomnikiem przyrody skupiska drzew w 
miejscowości
 Ziemiary, gmina Bolimów</t>
  </si>
  <si>
    <t xml:space="preserve">Aleksy</t>
  </si>
  <si>
    <t xml:space="preserve">2018-11-10</t>
  </si>
  <si>
    <t xml:space="preserve">Uchwała nr LXVII/487/18 Rady Miejskiej w Tuszynie z dnia 5 października 2018 r. w sprawie ustanowienia pomnika przyrody</t>
  </si>
  <si>
    <t xml:space="preserve">Uchwała nr LXVII/488/18 Rady Miejskiej w Tuszynie z dnia 5 października 2018 r. w sprawie ustanowienia pomnika przyrody</t>
  </si>
  <si>
    <t xml:space="preserve">2014-03-20</t>
  </si>
  <si>
    <t xml:space="preserve">Uchwała nr XXXIII/203/2014 Rady Gminy Wierzchlas z dnia 24 stycznia 2014 r. w sprawie pomnika przyrody – alei wielogatunkowej w miejscowości Kraszkowice, nr ewidencyjny działki nr 1353/3</t>
  </si>
  <si>
    <t xml:space="preserve">2018-12-19</t>
  </si>
  <si>
    <t xml:space="preserve">Uchwała nr LVI/372/2018 Rady Gminy w Sulmierzycach z dnia 13 listopada 2018 r. w sprawie pomników przyrody zlokalizowanych w gminie Sulmierzyce</t>
  </si>
  <si>
    <t xml:space="preserve">Sulmierzyce</t>
  </si>
  <si>
    <t xml:space="preserve">2019-03-15</t>
  </si>
  <si>
    <t xml:space="preserve"> Uchwała nr V/28/19 Rady Gminy Pątnów z dnia 7 lutego 2019 r. w sprawie pomników przyrody na terenie parku wiejskiego w Pątnowie </t>
  </si>
  <si>
    <t xml:space="preserve">2019-04-11</t>
  </si>
  <si>
    <t xml:space="preserve">Uchwała Nr VI/190/19 Rady Miejskiej w Łodzi z dnia 6 marca 2019 r. w sprawie ustanowienia pomników przyrody </t>
  </si>
  <si>
    <t xml:space="preserve">Uchwała Nr VI/190/19 Rady Miejskiej w Łodzi z dnia 6 marca 2019 r. w sprawie ustanowienia pomników przyrody (Dz. Urz. Woj. Łódzkiego poz. 1783)</t>
  </si>
  <si>
    <t xml:space="preserve">Uchwała Nr VI/190/19 Rady Miejskiej w Łodzi z dnia 6 marca 2019 r. w sprawie ustanowienia pomników przyrody</t>
  </si>
  <si>
    <t xml:space="preserve">Rozporządzenie Nr 12/91 Wojewody Łódzkiego z dnia 16 grudnia 1991 roku w sprawie uznania niektórych tworów przyrody na terenie województwa łódzkiego za pomniki przyrody i ochrony tych pomników</t>
  </si>
  <si>
    <t xml:space="preserve">Rozporządzenie Nr 12/91 Wojewody Łódzkiego z dnia 16 grudnia 1991roku w sprawie uznania niektórych tworów przyrody na terenie województwa łódzkiego za pomniki przyrody i ochrony tych pomników</t>
  </si>
  <si>
    <t xml:space="preserve">"Teletopcia"</t>
  </si>
  <si>
    <t xml:space="preserve">2019-12-05</t>
  </si>
  <si>
    <t xml:space="preserve">Uchwała Nr XI/135/19 Rady Miejskiej w Radomsku z dnia 29 października
2019 r. w sprawie ustanowienia pomnika przyrody</t>
  </si>
  <si>
    <t xml:space="preserve">Rozporządzenie Nr 10/93 Wojewody Łódzkiego z dnia 12 listopada 1993r. w sprawie uznania niektórych tworów przyrody na terenie województwa łódzkiego za pomniki przyrody i ochrony tych pomników</t>
  </si>
  <si>
    <t xml:space="preserve">2020-02-05</t>
  </si>
  <si>
    <t xml:space="preserve">Uchwała nr XIV/75/2019 Rady Gminy Brąszewice z dnia 30 grudnia 2019 r. w sprawie ustanowienia pomnika przyrody</t>
  </si>
  <si>
    <t xml:space="preserve">2020-05-20</t>
  </si>
  <si>
    <t xml:space="preserve">Uchwała Nr XXIV/812/20 Rady Miejskiej w Łodzi
z dnia 15 kwietnia 2020 r. w sprawie ustanowienia pomników przyrody</t>
  </si>
  <si>
    <t xml:space="preserve">Uchwała Nr XXIV/812/20 20 Rady Miejskiej w Łodzi z dnia 15 kwietnia 2020 r. w sprawie ustanowienia pomników przyrody</t>
  </si>
  <si>
    <t xml:space="preserve">Uchwała Nr XXIV/812/20 Rady Miejskiej w Łodzi z dnia 15 kwietnia 2020 r. w sprawie ustanowienia pomników przyrody </t>
  </si>
  <si>
    <t xml:space="preserve">Uchwała Nr XXIV/812/20 Rady Miejskiej w Łodzi z dnia 15 kwietnia 2020 r. w sprawie ustanowienia pomników przyrody</t>
  </si>
  <si>
    <t xml:space="preserve">2020-07-16</t>
  </si>
  <si>
    <t xml:space="preserve">Uchwała Nr XVIII/200/20 Rady Miejskiej w Radomsku z dnia 10 czerwca 2020 r. w sprawie ustanowienia pomnika przyrody</t>
  </si>
  <si>
    <t xml:space="preserve">2020-07-03</t>
  </si>
  <si>
    <t xml:space="preserve">UCHWAŁA NR XXVIII/221/2020
RADY MIEJSKIEJ TOMASZOWA MAZOWIECKIEGO
z dnia 28 maja 2020 r.
w sprawie ustanowienia pomników przyrody</t>
  </si>
  <si>
    <t xml:space="preserve">Zarządzenie nr 45/87 Wojewody
Piotrkowskiego z dnia 15 grudnia
1987 roku w sprawie uznania za
pomniki przyrody </t>
  </si>
  <si>
    <t xml:space="preserve">2020-11-13</t>
  </si>
  <si>
    <t xml:space="preserve">0.0001</t>
  </si>
  <si>
    <t xml:space="preserve">Uchwała XXXVII/279/2020 Rady Miejskiej w Uniejowie z dnia 13 listopada 2020 r. w sprawie ustanowienia pomnika przyrody.</t>
  </si>
  <si>
    <t xml:space="preserve">użytek ekologiczny</t>
  </si>
  <si>
    <t xml:space="preserve">2002-01-13</t>
  </si>
  <si>
    <t xml:space="preserve">2.0600</t>
  </si>
  <si>
    <t xml:space="preserve">Rozporządzenie Nr 57/2001 Wojewody Łódzkiego z 17.12.2001 r. w sprawie uznania za użytki ekologiczne</t>
  </si>
  <si>
    <t xml:space="preserve">2.2800</t>
  </si>
  <si>
    <t xml:space="preserve">1.2700</t>
  </si>
  <si>
    <t xml:space="preserve">Rozporządzenie Nr 5/96 Wojewody piotrkowskiego z 04.11.1996 r. w sprawie uznania za zespoły przyrodniczo-krajobrazowe oraz za użytki ekologiczne</t>
  </si>
  <si>
    <t xml:space="preserve">2.9000</t>
  </si>
  <si>
    <t xml:space="preserve">1.0800</t>
  </si>
  <si>
    <t xml:space="preserve">0.5700</t>
  </si>
  <si>
    <t xml:space="preserve">1.0300</t>
  </si>
  <si>
    <t xml:space="preserve">0.6000</t>
  </si>
  <si>
    <t xml:space="preserve">1.1100</t>
  </si>
  <si>
    <t xml:space="preserve">0.1700</t>
  </si>
  <si>
    <t xml:space="preserve">0.7600</t>
  </si>
  <si>
    <t xml:space="preserve">0.2200</t>
  </si>
  <si>
    <t xml:space="preserve">0.6700</t>
  </si>
  <si>
    <t xml:space="preserve">0.8000</t>
  </si>
  <si>
    <t xml:space="preserve">1.7500</t>
  </si>
  <si>
    <t xml:space="preserve">0.1800</t>
  </si>
  <si>
    <t xml:space="preserve">0.2600</t>
  </si>
  <si>
    <t xml:space="preserve">0.3200</t>
  </si>
  <si>
    <t xml:space="preserve">0.2500</t>
  </si>
  <si>
    <t xml:space="preserve">0.2300</t>
  </si>
  <si>
    <t xml:space="preserve">0.4300</t>
  </si>
  <si>
    <t xml:space="preserve">0.2100</t>
  </si>
  <si>
    <t xml:space="preserve">0.4200</t>
  </si>
  <si>
    <t xml:space="preserve">Kleszczów</t>
  </si>
  <si>
    <t xml:space="preserve">0.3700</t>
  </si>
  <si>
    <t xml:space="preserve">0.7900</t>
  </si>
  <si>
    <t xml:space="preserve">0.6500</t>
  </si>
  <si>
    <t xml:space="preserve">0.1500</t>
  </si>
  <si>
    <t xml:space="preserve">2.3300</t>
  </si>
  <si>
    <t xml:space="preserve">0.6200</t>
  </si>
  <si>
    <t xml:space="preserve">0.5100</t>
  </si>
  <si>
    <t xml:space="preserve">0.5500</t>
  </si>
  <si>
    <t xml:space="preserve">8.8600</t>
  </si>
  <si>
    <t xml:space="preserve">0.4600</t>
  </si>
  <si>
    <t xml:space="preserve">2.5100</t>
  </si>
  <si>
    <t xml:space="preserve">3.7500</t>
  </si>
  <si>
    <t xml:space="preserve">2.2500</t>
  </si>
  <si>
    <t xml:space="preserve">1.2600</t>
  </si>
  <si>
    <t xml:space="preserve">2.8200</t>
  </si>
  <si>
    <t xml:space="preserve">0.3800</t>
  </si>
  <si>
    <t xml:space="preserve">0.3100</t>
  </si>
  <si>
    <t xml:space="preserve">0.0900</t>
  </si>
  <si>
    <t xml:space="preserve">2.4500</t>
  </si>
  <si>
    <t xml:space="preserve">0.3000</t>
  </si>
  <si>
    <t xml:space="preserve">0.4000</t>
  </si>
  <si>
    <t xml:space="preserve">1.1400</t>
  </si>
  <si>
    <t xml:space="preserve">1998-06-13</t>
  </si>
  <si>
    <t xml:space="preserve">9.5600</t>
  </si>
  <si>
    <t xml:space="preserve">Rozporządzenie Wojewody Sieradzkiego z 13.05.1998 r. w sprawie uznania za użytki ekologiczne</t>
  </si>
  <si>
    <t xml:space="preserve">0.3300</t>
  </si>
  <si>
    <t xml:space="preserve">0.2000</t>
  </si>
  <si>
    <t xml:space="preserve">0.0300</t>
  </si>
  <si>
    <t xml:space="preserve">0.0800</t>
  </si>
  <si>
    <t xml:space="preserve">0.2900</t>
  </si>
  <si>
    <t xml:space="preserve">1.8500</t>
  </si>
  <si>
    <t xml:space="preserve">0.8800</t>
  </si>
  <si>
    <t xml:space="preserve">0.1300</t>
  </si>
  <si>
    <t xml:space="preserve">0.2700</t>
  </si>
  <si>
    <t xml:space="preserve">0.7200</t>
  </si>
  <si>
    <t xml:space="preserve">0.6100</t>
  </si>
  <si>
    <t xml:space="preserve">0.1100</t>
  </si>
  <si>
    <t xml:space="preserve">5.2800</t>
  </si>
  <si>
    <t xml:space="preserve">5.2200</t>
  </si>
  <si>
    <t xml:space="preserve">4.1700</t>
  </si>
  <si>
    <t xml:space="preserve">10.3400</t>
  </si>
  <si>
    <t xml:space="preserve">54.7800</t>
  </si>
  <si>
    <t xml:space="preserve">8.6300</t>
  </si>
  <si>
    <t xml:space="preserve">52.1400</t>
  </si>
  <si>
    <t xml:space="preserve">0.9600</t>
  </si>
  <si>
    <t xml:space="preserve">6.0500</t>
  </si>
  <si>
    <t xml:space="preserve">0.9800</t>
  </si>
  <si>
    <t xml:space="preserve">3.1900</t>
  </si>
  <si>
    <t xml:space="preserve">0.8400</t>
  </si>
  <si>
    <t xml:space="preserve">1.2400</t>
  </si>
  <si>
    <t xml:space="preserve">1.6500</t>
  </si>
  <si>
    <t xml:space="preserve">3.2200</t>
  </si>
  <si>
    <t xml:space="preserve">0.5000</t>
  </si>
  <si>
    <t xml:space="preserve">8.2500</t>
  </si>
  <si>
    <t xml:space="preserve">2.0100</t>
  </si>
  <si>
    <t xml:space="preserve">2.1100</t>
  </si>
  <si>
    <t xml:space="preserve">1.5700</t>
  </si>
  <si>
    <t xml:space="preserve">0.1900</t>
  </si>
  <si>
    <t xml:space="preserve">0.7400</t>
  </si>
  <si>
    <t xml:space="preserve">1.0100</t>
  </si>
  <si>
    <t xml:space="preserve">1.4000</t>
  </si>
  <si>
    <t xml:space="preserve">0.9000</t>
  </si>
  <si>
    <t xml:space="preserve">Uroczysko Torfy</t>
  </si>
  <si>
    <t xml:space="preserve">2006-06-17</t>
  </si>
  <si>
    <t xml:space="preserve">12.7600</t>
  </si>
  <si>
    <t xml:space="preserve">Uchwała Nr XLIII/282/2006 Rady Miejskiej w Zelowie z 06.04.2006 r. w sprawie uznania za użytek ekologiczny łąk zalewowych w dolinie rzeki Chrząstawki, na terenach Lasów Państwowych Nadleśnictwa Bełchatów, o nazwie "Uroczysko Torfy"</t>
  </si>
  <si>
    <t xml:space="preserve">1993-03-31</t>
  </si>
  <si>
    <t xml:space="preserve">Rozporządzenie Wojewody Sieradzkiego z 03.03.1993 r. w sprawie uznania za użytek ekologiczny</t>
  </si>
  <si>
    <t xml:space="preserve">1.5300</t>
  </si>
  <si>
    <t xml:space="preserve">1992-03-14</t>
  </si>
  <si>
    <t xml:space="preserve">Rozporządzenie Wojewody Sieradzkiego z 17.02.1992 r. w sprawie uznania za obiekty chronione</t>
  </si>
  <si>
    <t xml:space="preserve">2.5000</t>
  </si>
  <si>
    <t xml:space="preserve">1992-08-08</t>
  </si>
  <si>
    <t xml:space="preserve">1.3500</t>
  </si>
  <si>
    <t xml:space="preserve">Rozporządzenie Wojewody Sieradzkiego z 19.06.1992 r. w sprawie uznania za użytek ekologiczny</t>
  </si>
  <si>
    <t xml:space="preserve">Góra Charlawa</t>
  </si>
  <si>
    <t xml:space="preserve">1993-07-01</t>
  </si>
  <si>
    <t xml:space="preserve">0.9900</t>
  </si>
  <si>
    <t xml:space="preserve">Rozporządzenie Wojewody Sieradzkiego z 14.06.1993 r. w sprawie uznania za użytek ekologiczny</t>
  </si>
  <si>
    <t xml:space="preserve">1997-02-22</t>
  </si>
  <si>
    <t xml:space="preserve">0.5400</t>
  </si>
  <si>
    <t xml:space="preserve">ROZPORZĄDZENIE NR 2 WOJEWODY SKIERNIEWICKIEGO
z dnia 15 stycznia 1997 r. w sprawie uznania za użytki ekologiczne</t>
  </si>
  <si>
    <t xml:space="preserve">0.4400</t>
  </si>
  <si>
    <t xml:space="preserve">Rozporządzenie Nr 2 Wojewody Skierniewickiego z 15.01.1997 r. w sprawie uznania za użytki ekologiczne</t>
  </si>
  <si>
    <t xml:space="preserve">1.5800</t>
  </si>
  <si>
    <t xml:space="preserve">Rozporządzenie Nr 30 Wojewody Skierniewickiego z 21.12.1998 r. w sprawie uznania za użytki ekologiczne</t>
  </si>
  <si>
    <t xml:space="preserve">1.4700</t>
  </si>
  <si>
    <t xml:space="preserve">0.7500</t>
  </si>
  <si>
    <t xml:space="preserve">2.6000</t>
  </si>
  <si>
    <t xml:space="preserve">2.2700</t>
  </si>
  <si>
    <t xml:space="preserve">Kraszew</t>
  </si>
  <si>
    <t xml:space="preserve">2.7200</t>
  </si>
  <si>
    <t xml:space="preserve">Rozporządzenie Nr 50/2001 Wojewody Łódzkiego z 08.08.2001 r. w sprawie uznania za użytki ekologiczne</t>
  </si>
  <si>
    <t xml:space="preserve">Bagno Chrusty</t>
  </si>
  <si>
    <t xml:space="preserve">1.0500</t>
  </si>
  <si>
    <t xml:space="preserve">Rozporządzenie Nr 6/98 Wojewody piotrkowskiego z 03.07.1998 r. w sprawie zmiany rozporządzenia dotyczącego uznania za zespoły przyrodniczo-krajobrazowe oraz za użytki ekologiczne</t>
  </si>
  <si>
    <t xml:space="preserve">Smug nad Piasecznicą I</t>
  </si>
  <si>
    <t xml:space="preserve">Smug nad Piasecznicą II</t>
  </si>
  <si>
    <t xml:space="preserve">0.4100</t>
  </si>
  <si>
    <t xml:space="preserve">Ług pod Piaskową Górą</t>
  </si>
  <si>
    <t xml:space="preserve">Ług Zieleń I</t>
  </si>
  <si>
    <t xml:space="preserve">Ług pod Zieloną Górą</t>
  </si>
  <si>
    <t xml:space="preserve">0.2400</t>
  </si>
  <si>
    <t xml:space="preserve">Ług Zieleń II</t>
  </si>
  <si>
    <t xml:space="preserve">0.6400</t>
  </si>
  <si>
    <t xml:space="preserve">Smug pod Zieloną Górą</t>
  </si>
  <si>
    <t xml:space="preserve">1.1500</t>
  </si>
  <si>
    <t xml:space="preserve">Łęg w Rewicy</t>
  </si>
  <si>
    <t xml:space="preserve">1.1800</t>
  </si>
  <si>
    <t xml:space="preserve">Łozowisko Redzeń</t>
  </si>
  <si>
    <t xml:space="preserve">0.4500</t>
  </si>
  <si>
    <t xml:space="preserve">Źródła Taurów</t>
  </si>
  <si>
    <t xml:space="preserve">Mokradła Eminów</t>
  </si>
  <si>
    <t xml:space="preserve">1.4100</t>
  </si>
  <si>
    <t xml:space="preserve">Mokradło Budy</t>
  </si>
  <si>
    <t xml:space="preserve">Mokradło Regny</t>
  </si>
  <si>
    <t xml:space="preserve">1.1900</t>
  </si>
  <si>
    <t xml:space="preserve">0.1400</t>
  </si>
  <si>
    <t xml:space="preserve">0.1000</t>
  </si>
  <si>
    <t xml:space="preserve">0.6800</t>
  </si>
  <si>
    <t xml:space="preserve">0.2800</t>
  </si>
  <si>
    <t xml:space="preserve">0.4900</t>
  </si>
  <si>
    <t xml:space="preserve">Drzewica</t>
  </si>
  <si>
    <t xml:space="preserve">1.0000</t>
  </si>
  <si>
    <t xml:space="preserve">1998-05-15</t>
  </si>
  <si>
    <t xml:space="preserve">Rozporządzenie Nr 13 Wojewody Radomskiego z 04.05.1998 r. w sprawie uznania za użytki ekologiczne</t>
  </si>
  <si>
    <t xml:space="preserve">0.8700</t>
  </si>
  <si>
    <t xml:space="preserve">Mniszków</t>
  </si>
  <si>
    <t xml:space="preserve">Bagno</t>
  </si>
  <si>
    <t xml:space="preserve">0.9400</t>
  </si>
  <si>
    <t xml:space="preserve">Oczko wodne</t>
  </si>
  <si>
    <t xml:space="preserve">1.0600</t>
  </si>
  <si>
    <t xml:space="preserve">0.5900</t>
  </si>
  <si>
    <t xml:space="preserve">1.5600</t>
  </si>
  <si>
    <t xml:space="preserve">0.6600</t>
  </si>
  <si>
    <t xml:space="preserve">0.8500</t>
  </si>
  <si>
    <t xml:space="preserve">0.3600</t>
  </si>
  <si>
    <t xml:space="preserve">2.4000</t>
  </si>
  <si>
    <t xml:space="preserve">0.3500</t>
  </si>
  <si>
    <t xml:space="preserve">0.5800</t>
  </si>
  <si>
    <t xml:space="preserve">1.2200</t>
  </si>
  <si>
    <t xml:space="preserve">1.7000</t>
  </si>
  <si>
    <t xml:space="preserve">1.3200</t>
  </si>
  <si>
    <t xml:space="preserve">5.5700</t>
  </si>
  <si>
    <t xml:space="preserve">0.7000</t>
  </si>
  <si>
    <t xml:space="preserve">0.8900</t>
  </si>
  <si>
    <t xml:space="preserve">Sławno</t>
  </si>
  <si>
    <t xml:space="preserve">1.2000</t>
  </si>
  <si>
    <t xml:space="preserve">13.3800</t>
  </si>
  <si>
    <t xml:space="preserve">2.5600</t>
  </si>
  <si>
    <t xml:space="preserve">5.3200</t>
  </si>
  <si>
    <t xml:space="preserve">3.4800</t>
  </si>
  <si>
    <t xml:space="preserve">7.8600</t>
  </si>
  <si>
    <t xml:space="preserve">1.9800</t>
  </si>
  <si>
    <t xml:space="preserve">Rozporządzenie Wojewody Sieradzkiego z 25.10.1995 r. w sprawie zmiany rozporządzenia Wojewody Sieradzkiego z 12.05.1995 w sprawie uznania za użytek ekologiczny</t>
  </si>
  <si>
    <t xml:space="preserve">2.5900</t>
  </si>
  <si>
    <t xml:space="preserve">1995-06-27</t>
  </si>
  <si>
    <t xml:space="preserve">Rozporządzenie Wojewody Sieradzkiego z 12.05.1995 r. w sprawie uznania za użytki ekologiczne</t>
  </si>
  <si>
    <t xml:space="preserve">2.8300</t>
  </si>
  <si>
    <t xml:space="preserve">2006-06-15</t>
  </si>
  <si>
    <t xml:space="preserve">Rozporządzenie Nr 18/2000 Wojewody Łódzkiego z 22.05.2000 r. w sprawie uznania za użytki ekologiczne</t>
  </si>
  <si>
    <t xml:space="preserve">Oczko /1/</t>
  </si>
  <si>
    <t xml:space="preserve">1997-01-20</t>
  </si>
  <si>
    <t xml:space="preserve">0.4800</t>
  </si>
  <si>
    <t xml:space="preserve">Rozporządzenie Nr 33/96 Wojewody Częstochowskiego z 23.12.1996 r. w sprawie uznania za użytek ekologiczny</t>
  </si>
  <si>
    <t xml:space="preserve">Oczko /2/</t>
  </si>
  <si>
    <t xml:space="preserve">0.6300</t>
  </si>
  <si>
    <t xml:space="preserve">Wolskie Bagno</t>
  </si>
  <si>
    <t xml:space="preserve">Strzelce Wielkie</t>
  </si>
  <si>
    <t xml:space="preserve">0.3900</t>
  </si>
  <si>
    <t xml:space="preserve">4.5500</t>
  </si>
  <si>
    <t xml:space="preserve">0.0600</t>
  </si>
  <si>
    <t xml:space="preserve">0.5600</t>
  </si>
  <si>
    <t xml:space="preserve">Skotniki I</t>
  </si>
  <si>
    <t xml:space="preserve">2005-12-27</t>
  </si>
  <si>
    <t xml:space="preserve">Rozporządzenie Nr 46/2005 Wojewody Łódzkiego z 01.12.2005 r. w sprawie uznania za użytki ekologiczne</t>
  </si>
  <si>
    <t xml:space="preserve">Skotniki II</t>
  </si>
  <si>
    <t xml:space="preserve">Skotniki III</t>
  </si>
  <si>
    <t xml:space="preserve">0.4700</t>
  </si>
  <si>
    <t xml:space="preserve">2.1600</t>
  </si>
  <si>
    <t xml:space="preserve">0.0100</t>
  </si>
  <si>
    <t xml:space="preserve">10.2700</t>
  </si>
  <si>
    <t xml:space="preserve">2.6100</t>
  </si>
  <si>
    <t xml:space="preserve">0.8600</t>
  </si>
  <si>
    <t xml:space="preserve">5.4800</t>
  </si>
  <si>
    <t xml:space="preserve">10.6700</t>
  </si>
  <si>
    <t xml:space="preserve">6.9300</t>
  </si>
  <si>
    <t xml:space="preserve">0.1200</t>
  </si>
  <si>
    <t xml:space="preserve">1.8000</t>
  </si>
  <si>
    <t xml:space="preserve">1.3300</t>
  </si>
  <si>
    <t xml:space="preserve">0.0500</t>
  </si>
  <si>
    <t xml:space="preserve">2.3100</t>
  </si>
  <si>
    <t xml:space="preserve">11.1800</t>
  </si>
  <si>
    <t xml:space="preserve">0.0200</t>
  </si>
  <si>
    <t xml:space="preserve">0.0400</t>
  </si>
  <si>
    <t xml:space="preserve">0.0700</t>
  </si>
  <si>
    <t xml:space="preserve">1.8900</t>
  </si>
  <si>
    <t xml:space="preserve">Rozporządzenie Nr 7/98 Wojewody Piotrkowskiego z 09.12.1998 r. w sprawie zmiany rozporządzenia dotyczącego uznania za zespoły przyrodniczo-krajobrazowe oraz za użytki ekologiczne</t>
  </si>
  <si>
    <t xml:space="preserve">Moszczanka</t>
  </si>
  <si>
    <t xml:space="preserve">2003-05-29</t>
  </si>
  <si>
    <t xml:space="preserve">Uchwała Nr VII/46/2003 Rady gminy Moszczenica z 09.04.2003 r. w sprawie utworzenia Użytku Ekologicznego „Moszczanka”</t>
  </si>
  <si>
    <t xml:space="preserve">0.3400</t>
  </si>
  <si>
    <t xml:space="preserve">1.3800</t>
  </si>
  <si>
    <t xml:space="preserve">0.8300</t>
  </si>
  <si>
    <t xml:space="preserve">0.7800</t>
  </si>
  <si>
    <t xml:space="preserve">1.4600</t>
  </si>
  <si>
    <t xml:space="preserve">0.6900</t>
  </si>
  <si>
    <t xml:space="preserve">4.3800</t>
  </si>
  <si>
    <t xml:space="preserve">3.6200</t>
  </si>
  <si>
    <t xml:space="preserve">3.1300</t>
  </si>
  <si>
    <t xml:space="preserve">4.5700</t>
  </si>
  <si>
    <t xml:space="preserve">3.6100</t>
  </si>
  <si>
    <t xml:space="preserve">1.8300</t>
  </si>
  <si>
    <t xml:space="preserve">1.8200</t>
  </si>
  <si>
    <t xml:space="preserve">0.9300</t>
  </si>
  <si>
    <t xml:space="preserve">1.3900</t>
  </si>
  <si>
    <t xml:space="preserve">1.8800</t>
  </si>
  <si>
    <t xml:space="preserve">Na Murowańcu</t>
  </si>
  <si>
    <t xml:space="preserve">2005-12-18</t>
  </si>
  <si>
    <t xml:space="preserve">224.6900</t>
  </si>
  <si>
    <t xml:space="preserve">Rozporządzenie Nr 44/2005 z 24.11.2005 r. w sprawie uznania za użytek ekologiczny</t>
  </si>
  <si>
    <t xml:space="preserve">3.4700</t>
  </si>
  <si>
    <t xml:space="preserve">0.8100</t>
  </si>
  <si>
    <t xml:space="preserve">Bagno Swolszewickie</t>
  </si>
  <si>
    <t xml:space="preserve">0.1600</t>
  </si>
  <si>
    <t xml:space="preserve">Bronisławów</t>
  </si>
  <si>
    <t xml:space="preserve">2001-09-26</t>
  </si>
  <si>
    <t xml:space="preserve">200.0000</t>
  </si>
  <si>
    <t xml:space="preserve">Uchwała Nr XXXI/218/2001 Rady Gminy Wolbórz z 26.09.2001 r. w sprawie uznania za użytek ekologiczny</t>
  </si>
  <si>
    <t xml:space="preserve">1999-01-01</t>
  </si>
  <si>
    <t xml:space="preserve">Rozporządzenie Nr 21 Wojewody Koninskiego z 16.12.1998 r. zmieniające rozporządzenie w sprawie uznania za użytki ekologiczne</t>
  </si>
  <si>
    <t xml:space="preserve">2.4200</t>
  </si>
  <si>
    <t xml:space="preserve">Rozporządzenie Nr 21 Wojewody Koninskiego z 16.12.1998 zmieniające rozporządzenie w sprawie uznania za użytki ekologiczne</t>
  </si>
  <si>
    <t xml:space="preserve">12.1500</t>
  </si>
  <si>
    <t xml:space="preserve">1.6600</t>
  </si>
  <si>
    <t xml:space="preserve">1.9100</t>
  </si>
  <si>
    <t xml:space="preserve">2.7700</t>
  </si>
  <si>
    <t xml:space="preserve">7.4900</t>
  </si>
  <si>
    <t xml:space="preserve">3.8800</t>
  </si>
  <si>
    <t xml:space="preserve">2.7000</t>
  </si>
  <si>
    <t xml:space="preserve">2.6500</t>
  </si>
  <si>
    <t xml:space="preserve">0.9200</t>
  </si>
  <si>
    <t xml:space="preserve">1.5100</t>
  </si>
  <si>
    <t xml:space="preserve">Kodrąb</t>
  </si>
  <si>
    <t xml:space="preserve">5.9700</t>
  </si>
  <si>
    <t xml:space="preserve">7.5600</t>
  </si>
  <si>
    <t xml:space="preserve">7.9900</t>
  </si>
  <si>
    <t xml:space="preserve">2.2400</t>
  </si>
  <si>
    <t xml:space="preserve">1.4200</t>
  </si>
  <si>
    <t xml:space="preserve">2.4300</t>
  </si>
  <si>
    <t xml:space="preserve">2.6600</t>
  </si>
  <si>
    <t xml:space="preserve">0.7700</t>
  </si>
  <si>
    <t xml:space="preserve">1.0700</t>
  </si>
  <si>
    <t xml:space="preserve">1.3100</t>
  </si>
  <si>
    <t xml:space="preserve">1.1300</t>
  </si>
  <si>
    <t xml:space="preserve">1.0900</t>
  </si>
  <si>
    <t xml:space="preserve">2.3900</t>
  </si>
  <si>
    <t xml:space="preserve">3.6600</t>
  </si>
  <si>
    <t xml:space="preserve">Taras I</t>
  </si>
  <si>
    <t xml:space="preserve">Taras II</t>
  </si>
  <si>
    <t xml:space="preserve">Taras III</t>
  </si>
  <si>
    <t xml:space="preserve">Góry Mokre I</t>
  </si>
  <si>
    <t xml:space="preserve">3.3400</t>
  </si>
  <si>
    <t xml:space="preserve">Góry Mokre II</t>
  </si>
  <si>
    <t xml:space="preserve">Piskorzeniec I</t>
  </si>
  <si>
    <t xml:space="preserve">Stara Wieś I</t>
  </si>
  <si>
    <t xml:space="preserve">13.0200</t>
  </si>
  <si>
    <t xml:space="preserve">Stara Wieś II</t>
  </si>
  <si>
    <t xml:space="preserve">Mojżeszów I</t>
  </si>
  <si>
    <t xml:space="preserve">Mojżeszów II</t>
  </si>
  <si>
    <t xml:space="preserve">Mojżeszów III</t>
  </si>
  <si>
    <t xml:space="preserve">Mojżeszów IV</t>
  </si>
  <si>
    <t xml:space="preserve">Józefów Stary I</t>
  </si>
  <si>
    <t xml:space="preserve">Szczepocice  I</t>
  </si>
  <si>
    <t xml:space="preserve">Szczepocice II</t>
  </si>
  <si>
    <t xml:space="preserve">Lipie</t>
  </si>
  <si>
    <t xml:space="preserve">Paprotnia IV</t>
  </si>
  <si>
    <t xml:space="preserve">Pszczelaszcze IV</t>
  </si>
  <si>
    <t xml:space="preserve">Łużyce</t>
  </si>
  <si>
    <t xml:space="preserve">Biały Ług</t>
  </si>
  <si>
    <t xml:space="preserve">3.8300</t>
  </si>
  <si>
    <t xml:space="preserve">Kozubowo</t>
  </si>
  <si>
    <t xml:space="preserve">Pod Ojrzeniem</t>
  </si>
  <si>
    <t xml:space="preserve">11.0000</t>
  </si>
  <si>
    <t xml:space="preserve">Paprotnia II</t>
  </si>
  <si>
    <t xml:space="preserve">Paprotnia III</t>
  </si>
  <si>
    <t xml:space="preserve">Pszczelaszcze II</t>
  </si>
  <si>
    <t xml:space="preserve">Pszczelaszcze III</t>
  </si>
  <si>
    <t xml:space="preserve">Pszczelaszcze I</t>
  </si>
  <si>
    <t xml:space="preserve">Rozporządzenie Nr 5/96 Wojewody Piotrkowskiego z 04.11.1996 r. w sprawie uznania za zespoły przyrodniczo-krajobrazowe oraz za użytki ekologiczne</t>
  </si>
  <si>
    <t xml:space="preserve">Podlaszcze II</t>
  </si>
  <si>
    <t xml:space="preserve">Podlaszcze I</t>
  </si>
  <si>
    <t xml:space="preserve">Podbrylisko</t>
  </si>
  <si>
    <t xml:space="preserve">Klekowiec II</t>
  </si>
  <si>
    <t xml:space="preserve">Klekowiec III</t>
  </si>
  <si>
    <t xml:space="preserve">Klekowiec I</t>
  </si>
  <si>
    <t xml:space="preserve">Paprotnia I</t>
  </si>
  <si>
    <t xml:space="preserve">1.2500</t>
  </si>
  <si>
    <t xml:space="preserve">Wygoda</t>
  </si>
  <si>
    <t xml:space="preserve">Grabowczyk I</t>
  </si>
  <si>
    <t xml:space="preserve">Grabowczyk II</t>
  </si>
  <si>
    <t xml:space="preserve">Grabowczyk III</t>
  </si>
  <si>
    <t xml:space="preserve">1.7200</t>
  </si>
  <si>
    <t xml:space="preserve">5.3700</t>
  </si>
  <si>
    <t xml:space="preserve">0.9500</t>
  </si>
  <si>
    <t xml:space="preserve">Rozporządzenie Wojewody Sieradzkiego z 22.04.1996 r. w sprawie uznania za użytki ekologiczne, stanowisko dokumentacyjne oraz zespół przyrodniczo krajobrazowy</t>
  </si>
  <si>
    <t xml:space="preserve">5.0000</t>
  </si>
  <si>
    <t xml:space="preserve">2.7300</t>
  </si>
  <si>
    <t xml:space="preserve">6.8700</t>
  </si>
  <si>
    <t xml:space="preserve">15.9500</t>
  </si>
  <si>
    <t xml:space="preserve">8.0700</t>
  </si>
  <si>
    <t xml:space="preserve">7.8700</t>
  </si>
  <si>
    <t xml:space="preserve">0.7420</t>
  </si>
  <si>
    <t xml:space="preserve">3.5000</t>
  </si>
  <si>
    <t xml:space="preserve">1.0400</t>
  </si>
  <si>
    <t xml:space="preserve">1.1000</t>
  </si>
  <si>
    <t xml:space="preserve">1.5900</t>
  </si>
  <si>
    <t xml:space="preserve">5.2900</t>
  </si>
  <si>
    <t xml:space="preserve">Raszelki</t>
  </si>
  <si>
    <t xml:space="preserve">Rozporządzenie Wojewody Sieradzkiego z 24.11.1998 r. w sprawie uznania za obiekty chronione</t>
  </si>
  <si>
    <t xml:space="preserve">1995-03-25</t>
  </si>
  <si>
    <t xml:space="preserve">Rozporządzenie Wojewody Sieradzkiego z 02.03.1995 r. w sprawie uznania za użytek ekologiczny</t>
  </si>
  <si>
    <t xml:space="preserve">0.8200</t>
  </si>
  <si>
    <t xml:space="preserve">1.7700</t>
  </si>
  <si>
    <t xml:space="preserve">1.1600</t>
  </si>
  <si>
    <t xml:space="preserve">UCHWAŁA NR XVII/92/2016 RADY GMINY BOLIMÓW
z dnia 26 lutego 2016 r. w sprawie użytków ekologicznych na terenie gminy Bolimów
</t>
  </si>
  <si>
    <t xml:space="preserve">0.9100</t>
  </si>
  <si>
    <t xml:space="preserve">Rozporządzenie Nr 27 Wojewody Skierniewickiego z 07.12.1998 r. w sprawie uznania za użytki ekologiczne</t>
  </si>
  <si>
    <t xml:space="preserve">1.4900</t>
  </si>
  <si>
    <t xml:space="preserve">0.5300</t>
  </si>
  <si>
    <t xml:space="preserve">2.4400</t>
  </si>
  <si>
    <t xml:space="preserve">4.6500</t>
  </si>
  <si>
    <t xml:space="preserve">2.4600</t>
  </si>
  <si>
    <t xml:space="preserve">1.6000</t>
  </si>
  <si>
    <t xml:space="preserve">1997-08-14</t>
  </si>
  <si>
    <t xml:space="preserve">2.9400</t>
  </si>
  <si>
    <t xml:space="preserve">Rozporządzenie Nr 15 Wojewody Skierniewickiego z 26.06.1997 r. w sprawie uznania za użytek ekologiczny</t>
  </si>
  <si>
    <t xml:space="preserve">1.9700</t>
  </si>
  <si>
    <t xml:space="preserve">1.6100</t>
  </si>
  <si>
    <t xml:space="preserve">1.3600</t>
  </si>
  <si>
    <t xml:space="preserve">1.4800</t>
  </si>
  <si>
    <t xml:space="preserve">6.9500</t>
  </si>
  <si>
    <t xml:space="preserve">1.9400</t>
  </si>
  <si>
    <t xml:space="preserve">3.8500</t>
  </si>
  <si>
    <t xml:space="preserve">2.1300</t>
  </si>
  <si>
    <t xml:space="preserve">1.2100</t>
  </si>
  <si>
    <t xml:space="preserve">3.0200</t>
  </si>
  <si>
    <t xml:space="preserve">Strożyska</t>
  </si>
  <si>
    <t xml:space="preserve">3.9300</t>
  </si>
  <si>
    <t xml:space="preserve">Rozporządzenie Nr 19 Wojewody Skierniewickiego z 06.10.1998 r. w sprawie uznania za użytek ekologiczny</t>
  </si>
  <si>
    <t xml:space="preserve">2.0000</t>
  </si>
  <si>
    <t xml:space="preserve">Uchwała Nr XXIII/226/2001 Rady Gminy Inowłódz z 28.06.2001 r. w sprawie uznania za użytki ekologiczne i zespoły przyrodniczo-krajobrazowe obszarów Gminy Inowłódz</t>
  </si>
  <si>
    <t xml:space="preserve">Mokradło Łaznowska Wola</t>
  </si>
  <si>
    <t xml:space="preserve">Bagienko</t>
  </si>
  <si>
    <t xml:space="preserve">Torfowisko</t>
  </si>
  <si>
    <t xml:space="preserve">2.6900</t>
  </si>
  <si>
    <t xml:space="preserve">Stawik I</t>
  </si>
  <si>
    <t xml:space="preserve">Stawik II</t>
  </si>
  <si>
    <t xml:space="preserve">Kaczornik I</t>
  </si>
  <si>
    <t xml:space="preserve">Kaczornik II</t>
  </si>
  <si>
    <t xml:space="preserve">6.2500</t>
  </si>
  <si>
    <t xml:space="preserve">Bagno I</t>
  </si>
  <si>
    <t xml:space="preserve">Bagno II</t>
  </si>
  <si>
    <t xml:space="preserve">Kaczornik III</t>
  </si>
  <si>
    <t xml:space="preserve">Więcielucha</t>
  </si>
  <si>
    <t xml:space="preserve">Źródełko Twarda II</t>
  </si>
  <si>
    <t xml:space="preserve">Źródełko Twarda I</t>
  </si>
  <si>
    <t xml:space="preserve">Źródełko Twarda III</t>
  </si>
  <si>
    <t xml:space="preserve">Żródlisko</t>
  </si>
  <si>
    <t xml:space="preserve">1.5200</t>
  </si>
  <si>
    <t xml:space="preserve">1.3400</t>
  </si>
  <si>
    <t xml:space="preserve">Mała Subina</t>
  </si>
  <si>
    <t xml:space="preserve">6.5200</t>
  </si>
  <si>
    <t xml:space="preserve">Duża Subina</t>
  </si>
  <si>
    <t xml:space="preserve">4.4000</t>
  </si>
  <si>
    <t xml:space="preserve">1.6700</t>
  </si>
  <si>
    <t xml:space="preserve">Bagno śródleśne</t>
  </si>
  <si>
    <t xml:space="preserve">1996-04-13</t>
  </si>
  <si>
    <t xml:space="preserve">8.2400</t>
  </si>
  <si>
    <t xml:space="preserve">Rozporządzenie Wojewody Sieradzkiego z 19.03.1996 r. w sprawie uznania za użytki ekologiczne</t>
  </si>
  <si>
    <t xml:space="preserve">3.7900</t>
  </si>
  <si>
    <t xml:space="preserve">2.7600</t>
  </si>
  <si>
    <t xml:space="preserve">4.1800</t>
  </si>
  <si>
    <t xml:space="preserve">1.8100</t>
  </si>
  <si>
    <t xml:space="preserve">3.0900</t>
  </si>
  <si>
    <t xml:space="preserve">3.0700</t>
  </si>
  <si>
    <t xml:space="preserve">3.0100</t>
  </si>
  <si>
    <t xml:space="preserve">Wronia Woda</t>
  </si>
  <si>
    <t xml:space="preserve">21.4200</t>
  </si>
  <si>
    <t xml:space="preserve">1.0200</t>
  </si>
  <si>
    <t xml:space="preserve">Uchwała Nr XVIII/114/2004 Rady Gminy w Bolesławcu z 09.11.2004 r. w sprawie uznania terenu za użytek ekologiczny</t>
  </si>
  <si>
    <t xml:space="preserve">Bolesławiec</t>
  </si>
  <si>
    <t xml:space="preserve">2005-06-09</t>
  </si>
  <si>
    <t xml:space="preserve">5.9800</t>
  </si>
  <si>
    <t xml:space="preserve">Uchwała Nr XXVI/139/05 Rady Gminy w Lututowie z 27.04.2005 r. w sprawie ustanowienia użytku ekologicznego</t>
  </si>
  <si>
    <t xml:space="preserve">4.3200</t>
  </si>
  <si>
    <t xml:space="preserve">32.5400</t>
  </si>
  <si>
    <t xml:space="preserve">3.0000</t>
  </si>
  <si>
    <t xml:space="preserve">2004-09-29</t>
  </si>
  <si>
    <t xml:space="preserve">4.7000</t>
  </si>
  <si>
    <t xml:space="preserve">Uchwała Nr 96/XVII/2004 Rady Gminy Zduńska Wola z 02.09.2004 r. w sprawie uznania za użytek ekologiczny</t>
  </si>
  <si>
    <t xml:space="preserve">5.5300</t>
  </si>
  <si>
    <t xml:space="preserve">6.7100</t>
  </si>
  <si>
    <t xml:space="preserve">10.4600</t>
  </si>
  <si>
    <t xml:space="preserve">2.3800</t>
  </si>
  <si>
    <t xml:space="preserve">3.6900</t>
  </si>
  <si>
    <t xml:space="preserve">9.0500</t>
  </si>
  <si>
    <t xml:space="preserve">1.2800</t>
  </si>
  <si>
    <t xml:space="preserve">Międzyrzecze Bzury i Łagiewniczanki</t>
  </si>
  <si>
    <t xml:space="preserve">32.3900</t>
  </si>
  <si>
    <t xml:space="preserve">Uchwała Nr LVIII/1098/09 Rady Miejskiej w Łodzi z 27.05.2009 r. w sprawie ustanowienia użytku ekologicznego „Międzyrzecze Bzury i  Łagiewniczanki”</t>
  </si>
  <si>
    <t xml:space="preserve">Stawy w Nowosolnej</t>
  </si>
  <si>
    <t xml:space="preserve">15.6300</t>
  </si>
  <si>
    <t xml:space="preserve">Uchwała Nr LVIII/1099/09 Rady Miejskiej w Łodzi z 27.05.2009 r. w sprawie ustanowienia użytku ekologicznego „Stawy w Nowosolnej”</t>
  </si>
  <si>
    <t xml:space="preserve">Mokradła Brzozy</t>
  </si>
  <si>
    <t xml:space="preserve">2.4100</t>
  </si>
  <si>
    <t xml:space="preserve">Uchwała Nr LVIII/1105/09 Rady Miejskiej w Łodzi z 27.05.2009 r. w sprawie ustanowienia użytku ekologicznego „Mokradła Brzozy”</t>
  </si>
  <si>
    <t xml:space="preserve">Stawy w Mileszkach</t>
  </si>
  <si>
    <t xml:space="preserve">2.2600</t>
  </si>
  <si>
    <t xml:space="preserve">Uchwała Nr LVIII/1101/09 Rady Miejskiej w Łodzi z 27.05.2009 r. w sprawie ustanowienia użytku ekologicznego "Stawy w Mileszkach"</t>
  </si>
  <si>
    <t xml:space="preserve">Mokradła przy Pomorskiej</t>
  </si>
  <si>
    <t xml:space="preserve">Uchwała Nr LVIII/1102/09 Rady Miejskiej w Łodzi z 27.05.2009 r. w sprawie ustanowienia użytku ekologicznego „Mokradła przy Pomorskiej”</t>
  </si>
  <si>
    <t xml:space="preserve">Jeziorko Wiskitno</t>
  </si>
  <si>
    <t xml:space="preserve">6.8800</t>
  </si>
  <si>
    <t xml:space="preserve">Uchwała Nr LVIII/1103/09 Rady Miejskiej w Łodzi z 27.05.2009 r. w sprawie ustanowienia użytku ekologicznego „Jeziorko Wiskitno”</t>
  </si>
  <si>
    <t xml:space="preserve">Międzyrzecze Sokołówki i Brzozy</t>
  </si>
  <si>
    <t xml:space="preserve">2.0400</t>
  </si>
  <si>
    <t xml:space="preserve">Uchwała Nr LVIII/1106/09 Rady Miejskiej w Łodzi z 27.05.2009 r. w sprawie ustanowienia użytku ekologicznego „Międzyrzecze Sokołówki i Brzozy”</t>
  </si>
  <si>
    <t xml:space="preserve">Łąka w Wiączyniu</t>
  </si>
  <si>
    <t xml:space="preserve">Uchwała Nr LVIII/1100/09 Rady Miejskiej w Łodzi z 27.05.2009 r. w sprawie ustanowienia użytku ekologicznego „Łąka w Wiączyniu”</t>
  </si>
  <si>
    <t xml:space="preserve">Łąki na Modrzewiu</t>
  </si>
  <si>
    <t xml:space="preserve">2.9300</t>
  </si>
  <si>
    <t xml:space="preserve">Uchwała Nr XLI/816/08 Rady Miejskiej w Łodzi z 08.10.2008 r. w sprawie ustanowienia użytku ekologicznego „Łąki na Modrzewiu”</t>
  </si>
  <si>
    <t xml:space="preserve">Majerowskie Błota</t>
  </si>
  <si>
    <t xml:space="preserve">6.1420</t>
  </si>
  <si>
    <t xml:space="preserve">Uchwała Nr XCI/1601/10 Rady Miejskiej w Łodzi z 07.07.2010 r. w sprawie ustanowienia użytku ekologicznego „Majerowskie Błota”</t>
  </si>
  <si>
    <t xml:space="preserve">Dolina dolnej Wrzącej</t>
  </si>
  <si>
    <t xml:space="preserve">10.1260</t>
  </si>
  <si>
    <t xml:space="preserve">Uchwała Nr XCI/1595/10 Rady Miejskiej w Łodzi z 07.07.2010 r. w sprawie ustanowienia użytku ekologicznego „Dolina dolnej Wrzącej”</t>
  </si>
  <si>
    <t xml:space="preserve">Olsy na Żabieńcu</t>
  </si>
  <si>
    <t xml:space="preserve">4.6720</t>
  </si>
  <si>
    <t xml:space="preserve">Uchwała Nr XCI/1596/10 Rady Miejskiej w Łodzi z 07.07.2010 r. w sprawie ustanowienia użytku ekologicznego „Olsy na Żabieńcu”</t>
  </si>
  <si>
    <t xml:space="preserve">Majerowskie Pole</t>
  </si>
  <si>
    <t xml:space="preserve">6.7870</t>
  </si>
  <si>
    <t xml:space="preserve">Uchwała Nr XCI/1597/10 Rady Miejskiej w Łodzi z 07.07.2010 r. w sprawie ustanowienia użytku ekologicznego „Majerowskie Pole”</t>
  </si>
  <si>
    <t xml:space="preserve">Olsy nad Nerem</t>
  </si>
  <si>
    <t xml:space="preserve">14.6060</t>
  </si>
  <si>
    <t xml:space="preserve">Uchwała Nr XCI/1598/10 Rady Miejskiej w Łodzi z 07.07.2010 r. w sprawie ustanowienia użytku ekologicznego „Olsy nad Nerem”</t>
  </si>
  <si>
    <t xml:space="preserve">Źródliska na Mikołajewie</t>
  </si>
  <si>
    <t xml:space="preserve">2010-12-16</t>
  </si>
  <si>
    <t xml:space="preserve">Uchwała Nr C/1830/10 Rady Miejskiej w Łodzi z 03.11.2010 r. w sprawie ustanowienia użytku ekologicznego „Źródliska na Mikołajewie”</t>
  </si>
  <si>
    <t xml:space="preserve">Nad Bugajem</t>
  </si>
  <si>
    <t xml:space="preserve">2005-03-11</t>
  </si>
  <si>
    <t xml:space="preserve">35.8000</t>
  </si>
  <si>
    <t xml:space="preserve">Uchwała NR XXII/480/05 Rady Miasta w Piotrkowie Trybunalskim z 26.01.2005 r. w sprawie uznania obszaru za użytek ekologiczny</t>
  </si>
  <si>
    <t xml:space="preserve">Rozporządzenie Nr 5/96 Wojewody Piotrkowskiego z dnia 4 listopada 1996 r. w sprawie uznania za zespoły przyrodniczo-krajobrazowe oraz za użytki ekologiczne</t>
  </si>
  <si>
    <t xml:space="preserve">Dąbskie Błota</t>
  </si>
  <si>
    <t xml:space="preserve">2001-06-08</t>
  </si>
  <si>
    <t xml:space="preserve">700.0000</t>
  </si>
  <si>
    <t xml:space="preserve">Uchwała Nr XXIII/129/2001 Rady Miejskiej w Dąbiu z dnia 10 kwietnia 2001 r. w sprawie uznania za użytek ekologiczny kompleksu łąkowo-depresyjnego "Dąbskie Błota"</t>
  </si>
  <si>
    <t xml:space="preserve">2016-10-25</t>
  </si>
  <si>
    <t xml:space="preserve">UCHWAŁA NR XXV/128/2016 RADY GMINY BIAŁACZÓW z dnia 20 września 2016 r. w sprawie ustanowienia użytku ekologicznego na terenie gminy Białaczów</t>
  </si>
  <si>
    <t xml:space="preserve">Piasetnica</t>
  </si>
  <si>
    <t xml:space="preserve">2019-05-29</t>
  </si>
  <si>
    <t xml:space="preserve"> Uchwała nr V/51/2019 Rady Gminy Białaczów z dnia 29 marca 2019 r. w sprawie ustanowienia użytków ekologicznych </t>
  </si>
  <si>
    <t xml:space="preserve">Na Błotku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</si>
</sst>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8D52"/>
      <name val="Arial"/>
      <family val="2"/>
      <charset val="1"/>
    </font>
    <font>
      <sz val="10"/>
      <color rgb="FF055136"/>
      <name val="Arial"/>
      <family val="2"/>
      <charset val="1"/>
    </font>
    <font>
      <sz val="10"/>
      <color rgb="FF777777"/>
      <name val="Arial"/>
      <family val="2"/>
      <charset val="1"/>
    </font>
    <font>
      <sz val="10"/>
      <color rgb="FF1D7FB6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C9211E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D52"/>
      <rgbColor rgb="FFC0C0C0"/>
      <rgbColor rgb="FF777777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1D7FB6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5513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06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2" activeCellId="0" sqref="B2"/>
    </sheetView>
  </sheetViews>
  <sheetFormatPr defaultColWidth="11.7421875" defaultRowHeight="12.8" zeroHeight="false" outlineLevelRow="0" outlineLevelCol="0"/>
  <cols>
    <col collapsed="false" customWidth="true" hidden="false" outlineLevel="0" max="1" min="1" style="1" width="19.19"/>
    <col collapsed="false" customWidth="true" hidden="false" outlineLevel="0" max="2" min="2" style="2" width="38.76"/>
    <col collapsed="false" customWidth="true" hidden="false" outlineLevel="0" max="3" min="3" style="3" width="14.03"/>
    <col collapsed="false" customWidth="true" hidden="false" outlineLevel="0" max="4" min="4" style="4" width="19.72"/>
    <col collapsed="false" customWidth="true" hidden="false" outlineLevel="0" max="5" min="5" style="5" width="13.63"/>
    <col collapsed="false" customWidth="true" hidden="false" outlineLevel="0" max="6" min="6" style="6" width="19.45"/>
    <col collapsed="false" customWidth="true" hidden="false" outlineLevel="0" max="7" min="7" style="7" width="19.45"/>
    <col collapsed="false" customWidth="true" hidden="false" outlineLevel="0" max="8" min="8" style="0" width="40.85"/>
    <col collapsed="false" customWidth="true" hidden="false" outlineLevel="0" max="1024" min="1022" style="0" width="11.52"/>
  </cols>
  <sheetData>
    <row r="1" s="9" customFormat="true" ht="25.5" hidden="false" customHeight="true" outlineLevel="0" collapsed="false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J1" s="0"/>
      <c r="K1" s="0"/>
      <c r="AMG1" s="0"/>
      <c r="AMH1" s="0"/>
      <c r="AMI1" s="0"/>
      <c r="AMJ1" s="0"/>
    </row>
    <row r="2" customFormat="false" ht="12.8" hidden="false" customHeight="false" outlineLevel="0" collapsed="false">
      <c r="A2" s="1" t="s">
        <v>8</v>
      </c>
      <c r="B2" s="2" t="s">
        <v>9</v>
      </c>
      <c r="C2" s="3" t="s">
        <v>10</v>
      </c>
      <c r="D2" s="4" t="s">
        <v>11</v>
      </c>
      <c r="F2" s="6" t="s">
        <v>12</v>
      </c>
      <c r="G2" s="7" t="str">
        <f aca="false">HYPERLINK(CONCATENATE("http://crfop.gdos.gov.pl/CRFOP/widok/viewobszarchronionegokrajobrazu.jsf?fop=","PL.ZIPOP.1393.OCHK.124"),"(kliknij lub Ctrl+kliknij)")</f>
        <v>(kliknij lub Ctrl+kliknij)</v>
      </c>
    </row>
    <row r="3" customFormat="false" ht="12.8" hidden="false" customHeight="false" outlineLevel="0" collapsed="false">
      <c r="A3" s="1" t="s">
        <v>8</v>
      </c>
      <c r="B3" s="2" t="s">
        <v>13</v>
      </c>
      <c r="C3" s="3" t="s">
        <v>14</v>
      </c>
      <c r="D3" s="4" t="s">
        <v>15</v>
      </c>
      <c r="F3" s="6" t="s">
        <v>16</v>
      </c>
      <c r="G3" s="7" t="str">
        <f aca="false">HYPERLINK(CONCATENATE("http://crfop.gdos.gov.pl/CRFOP/widok/viewobszarchronionegokrajobrazu.jsf?fop=","PL.ZIPOP.1393.OCHK.209"),"(kliknij lub Ctrl+kliknij)")</f>
        <v>(kliknij lub Ctrl+kliknij)</v>
      </c>
    </row>
    <row r="4" customFormat="false" ht="12.8" hidden="false" customHeight="false" outlineLevel="0" collapsed="false">
      <c r="A4" s="1" t="s">
        <v>8</v>
      </c>
      <c r="B4" s="2" t="s">
        <v>17</v>
      </c>
      <c r="C4" s="3" t="s">
        <v>18</v>
      </c>
      <c r="D4" s="4" t="s">
        <v>19</v>
      </c>
      <c r="F4" s="6" t="s">
        <v>20</v>
      </c>
      <c r="G4" s="7" t="str">
        <f aca="false">HYPERLINK(CONCATENATE("http://crfop.gdos.gov.pl/CRFOP/widok/viewobszarchronionegokrajobrazu.jsf?fop=","PL.ZIPOP.1393.OCHK.130"),"(kliknij lub Ctrl+kliknij)")</f>
        <v>(kliknij lub Ctrl+kliknij)</v>
      </c>
    </row>
    <row r="5" customFormat="false" ht="12.8" hidden="false" customHeight="false" outlineLevel="0" collapsed="false">
      <c r="A5" s="1" t="s">
        <v>8</v>
      </c>
      <c r="B5" s="2" t="s">
        <v>21</v>
      </c>
      <c r="C5" s="3" t="s">
        <v>18</v>
      </c>
      <c r="D5" s="4" t="s">
        <v>22</v>
      </c>
      <c r="F5" s="6" t="s">
        <v>20</v>
      </c>
      <c r="G5" s="7" t="str">
        <f aca="false">HYPERLINK(CONCATENATE("http://crfop.gdos.gov.pl/CRFOP/widok/viewobszarchronionegokrajobrazu.jsf?fop=","PL.ZIPOP.1393.OCHK.115"),"(kliknij lub Ctrl+kliknij)")</f>
        <v>(kliknij lub Ctrl+kliknij)</v>
      </c>
    </row>
    <row r="6" customFormat="false" ht="12.8" hidden="false" customHeight="false" outlineLevel="0" collapsed="false">
      <c r="A6" s="1" t="s">
        <v>8</v>
      </c>
      <c r="B6" s="2" t="s">
        <v>23</v>
      </c>
      <c r="C6" s="3" t="s">
        <v>18</v>
      </c>
      <c r="D6" s="4" t="s">
        <v>24</v>
      </c>
      <c r="F6" s="6" t="s">
        <v>20</v>
      </c>
      <c r="G6" s="7" t="str">
        <f aca="false">HYPERLINK(CONCATENATE("http://crfop.gdos.gov.pl/CRFOP/widok/viewobszarchronionegokrajobrazu.jsf?fop=","PL.ZIPOP.1393.OCHK.122"),"(kliknij lub Ctrl+kliknij)")</f>
        <v>(kliknij lub Ctrl+kliknij)</v>
      </c>
    </row>
    <row r="7" customFormat="false" ht="12.8" hidden="false" customHeight="false" outlineLevel="0" collapsed="false">
      <c r="A7" s="1" t="s">
        <v>8</v>
      </c>
      <c r="B7" s="2" t="s">
        <v>25</v>
      </c>
      <c r="C7" s="3" t="s">
        <v>26</v>
      </c>
      <c r="D7" s="4" t="s">
        <v>27</v>
      </c>
      <c r="F7" s="6" t="s">
        <v>28</v>
      </c>
      <c r="G7" s="7" t="str">
        <f aca="false">HYPERLINK(CONCATENATE("http://crfop.gdos.gov.pl/CRFOP/widok/viewobszarchronionegokrajobrazu.jsf?fop=","PL.ZIPOP.1393.OCHK.136"),"(kliknij lub Ctrl+kliknij)")</f>
        <v>(kliknij lub Ctrl+kliknij)</v>
      </c>
    </row>
    <row r="8" customFormat="false" ht="12.8" hidden="false" customHeight="false" outlineLevel="0" collapsed="false">
      <c r="A8" s="1" t="s">
        <v>8</v>
      </c>
      <c r="B8" s="2" t="s">
        <v>29</v>
      </c>
      <c r="C8" s="3" t="s">
        <v>30</v>
      </c>
      <c r="D8" s="4" t="s">
        <v>31</v>
      </c>
      <c r="F8" s="6" t="s">
        <v>32</v>
      </c>
      <c r="G8" s="7" t="str">
        <f aca="false">HYPERLINK(CONCATENATE("http://crfop.gdos.gov.pl/CRFOP/widok/viewobszarchronionegokrajobrazu.jsf?fop=","PL.ZIPOP.1393.OCHK.150"),"(kliknij lub Ctrl+kliknij)")</f>
        <v>(kliknij lub Ctrl+kliknij)</v>
      </c>
    </row>
    <row r="9" customFormat="false" ht="12.8" hidden="false" customHeight="false" outlineLevel="0" collapsed="false">
      <c r="A9" s="1" t="s">
        <v>8</v>
      </c>
      <c r="B9" s="2" t="s">
        <v>33</v>
      </c>
      <c r="C9" s="3" t="s">
        <v>30</v>
      </c>
      <c r="D9" s="4" t="s">
        <v>34</v>
      </c>
      <c r="F9" s="6" t="s">
        <v>35</v>
      </c>
      <c r="G9" s="7" t="str">
        <f aca="false">HYPERLINK(CONCATENATE("http://crfop.gdos.gov.pl/CRFOP/widok/viewobszarchronionegokrajobrazu.jsf?fop=","PL.ZIPOP.1393.OCHK.151"),"(kliknij lub Ctrl+kliknij)")</f>
        <v>(kliknij lub Ctrl+kliknij)</v>
      </c>
    </row>
    <row r="10" customFormat="false" ht="12.8" hidden="false" customHeight="false" outlineLevel="0" collapsed="false">
      <c r="A10" s="1" t="s">
        <v>8</v>
      </c>
      <c r="B10" s="2" t="s">
        <v>36</v>
      </c>
      <c r="C10" s="3" t="s">
        <v>30</v>
      </c>
      <c r="D10" s="4" t="s">
        <v>37</v>
      </c>
      <c r="F10" s="6" t="s">
        <v>38</v>
      </c>
      <c r="G10" s="7" t="str">
        <f aca="false">HYPERLINK(CONCATENATE("http://crfop.gdos.gov.pl/CRFOP/widok/viewobszarchronionegokrajobrazu.jsf?fop=","PL.ZIPOP.1393.OCHK.152"),"(kliknij lub Ctrl+kliknij)")</f>
        <v>(kliknij lub Ctrl+kliknij)</v>
      </c>
    </row>
    <row r="11" customFormat="false" ht="12.8" hidden="false" customHeight="false" outlineLevel="0" collapsed="false">
      <c r="A11" s="1" t="s">
        <v>8</v>
      </c>
      <c r="B11" s="2" t="s">
        <v>39</v>
      </c>
      <c r="C11" s="3" t="s">
        <v>30</v>
      </c>
      <c r="D11" s="4" t="s">
        <v>40</v>
      </c>
      <c r="F11" s="6" t="s">
        <v>32</v>
      </c>
      <c r="G11" s="7" t="str">
        <f aca="false">HYPERLINK(CONCATENATE("http://crfop.gdos.gov.pl/CRFOP/widok/viewobszarchronionegokrajobrazu.jsf?fop=","PL.ZIPOP.1393.OCHK.153"),"(kliknij lub Ctrl+kliknij)")</f>
        <v>(kliknij lub Ctrl+kliknij)</v>
      </c>
    </row>
    <row r="12" customFormat="false" ht="12.8" hidden="false" customHeight="false" outlineLevel="0" collapsed="false">
      <c r="A12" s="1" t="s">
        <v>8</v>
      </c>
      <c r="B12" s="2" t="s">
        <v>41</v>
      </c>
      <c r="C12" s="3" t="s">
        <v>42</v>
      </c>
      <c r="D12" s="4" t="s">
        <v>43</v>
      </c>
      <c r="F12" s="6" t="s">
        <v>44</v>
      </c>
      <c r="G12" s="7" t="str">
        <f aca="false">HYPERLINK(CONCATENATE("http://crfop.gdos.gov.pl/CRFOP/widok/viewobszarchronionegokrajobrazu.jsf?fop=","PL.ZIPOP.1393.OCHK.169"),"(kliknij lub Ctrl+kliknij)")</f>
        <v>(kliknij lub Ctrl+kliknij)</v>
      </c>
    </row>
    <row r="13" customFormat="false" ht="12.8" hidden="false" customHeight="false" outlineLevel="0" collapsed="false">
      <c r="A13" s="1" t="s">
        <v>8</v>
      </c>
      <c r="B13" s="2" t="s">
        <v>45</v>
      </c>
      <c r="C13" s="3" t="s">
        <v>46</v>
      </c>
      <c r="D13" s="4" t="s">
        <v>47</v>
      </c>
      <c r="F13" s="6" t="s">
        <v>48</v>
      </c>
      <c r="G13" s="7" t="str">
        <f aca="false">HYPERLINK(CONCATENATE("http://crfop.gdos.gov.pl/CRFOP/widok/viewobszarchronionegokrajobrazu.jsf?fop=","PL.ZIPOP.1393.OCHK.344"),"(kliknij lub Ctrl+kliknij)")</f>
        <v>(kliknij lub Ctrl+kliknij)</v>
      </c>
    </row>
    <row r="14" customFormat="false" ht="12.8" hidden="false" customHeight="false" outlineLevel="0" collapsed="false">
      <c r="A14" s="1" t="s">
        <v>8</v>
      </c>
      <c r="B14" s="2" t="s">
        <v>49</v>
      </c>
      <c r="C14" s="3" t="s">
        <v>10</v>
      </c>
      <c r="D14" s="4" t="s">
        <v>50</v>
      </c>
      <c r="F14" s="6" t="s">
        <v>51</v>
      </c>
      <c r="G14" s="7" t="str">
        <f aca="false">HYPERLINK(CONCATENATE("http://crfop.gdos.gov.pl/CRFOP/widok/viewobszarchronionegokrajobrazu.jsf?fop=","PL.ZIPOP.1393.OCHK.248"),"(kliknij lub Ctrl+kliknij)")</f>
        <v>(kliknij lub Ctrl+kliknij)</v>
      </c>
    </row>
    <row r="15" customFormat="false" ht="12.8" hidden="false" customHeight="false" outlineLevel="0" collapsed="false">
      <c r="A15" s="1" t="s">
        <v>8</v>
      </c>
      <c r="B15" s="2" t="s">
        <v>52</v>
      </c>
      <c r="C15" s="3" t="s">
        <v>10</v>
      </c>
      <c r="D15" s="4" t="s">
        <v>53</v>
      </c>
      <c r="F15" s="6" t="s">
        <v>12</v>
      </c>
      <c r="G15" s="7" t="str">
        <f aca="false">HYPERLINK(CONCATENATE("http://crfop.gdos.gov.pl/CRFOP/widok/viewobszarchronionegokrajobrazu.jsf?fop=","PL.ZIPOP.1393.OCHK.249"),"(kliknij lub Ctrl+kliknij)")</f>
        <v>(kliknij lub Ctrl+kliknij)</v>
      </c>
    </row>
    <row r="16" customFormat="false" ht="12.8" hidden="false" customHeight="false" outlineLevel="0" collapsed="false">
      <c r="A16" s="1" t="s">
        <v>8</v>
      </c>
      <c r="B16" s="2" t="s">
        <v>54</v>
      </c>
      <c r="C16" s="3" t="s">
        <v>55</v>
      </c>
      <c r="D16" s="4" t="s">
        <v>56</v>
      </c>
      <c r="F16" s="6" t="s">
        <v>57</v>
      </c>
      <c r="G16" s="7" t="str">
        <f aca="false">HYPERLINK(CONCATENATE("http://crfop.gdos.gov.pl/CRFOP/widok/viewobszarchronionegokrajobrazu.jsf?fop=","PL.ZIPOP.1393.OCHK.255"),"(kliknij lub Ctrl+kliknij)")</f>
        <v>(kliknij lub Ctrl+kliknij)</v>
      </c>
    </row>
    <row r="17" customFormat="false" ht="12.8" hidden="false" customHeight="false" outlineLevel="0" collapsed="false">
      <c r="A17" s="1" t="s">
        <v>8</v>
      </c>
      <c r="B17" s="2" t="s">
        <v>58</v>
      </c>
      <c r="C17" s="3" t="s">
        <v>46</v>
      </c>
      <c r="D17" s="4" t="s">
        <v>59</v>
      </c>
      <c r="F17" s="6" t="s">
        <v>48</v>
      </c>
      <c r="G17" s="7" t="str">
        <f aca="false">HYPERLINK(CONCATENATE("http://crfop.gdos.gov.pl/CRFOP/widok/viewobszarchronionegokrajobrazu.jsf?fop=","PL.ZIPOP.1393.OCHK.140"),"(kliknij lub Ctrl+kliknij)")</f>
        <v>(kliknij lub Ctrl+kliknij)</v>
      </c>
    </row>
    <row r="18" customFormat="false" ht="12.8" hidden="false" customHeight="false" outlineLevel="0" collapsed="false">
      <c r="A18" s="1" t="s">
        <v>8</v>
      </c>
      <c r="B18" s="2" t="s">
        <v>60</v>
      </c>
      <c r="C18" s="3" t="s">
        <v>61</v>
      </c>
      <c r="D18" s="4" t="s">
        <v>62</v>
      </c>
      <c r="F18" s="6" t="s">
        <v>63</v>
      </c>
      <c r="G18" s="7" t="str">
        <f aca="false">HYPERLINK(CONCATENATE("http://crfop.gdos.gov.pl/CRFOP/widok/viewobszarchronionegokrajobrazu.jsf?fop=","PL.ZIPOP.1393.OCHK.267"),"(kliknij lub Ctrl+kliknij)")</f>
        <v>(kliknij lub Ctrl+kliknij)</v>
      </c>
    </row>
    <row r="19" customFormat="false" ht="12.8" hidden="false" customHeight="false" outlineLevel="0" collapsed="false">
      <c r="A19" s="1" t="s">
        <v>8</v>
      </c>
      <c r="B19" s="2" t="s">
        <v>64</v>
      </c>
      <c r="C19" s="3" t="s">
        <v>30</v>
      </c>
      <c r="D19" s="4" t="s">
        <v>65</v>
      </c>
      <c r="F19" s="6" t="s">
        <v>66</v>
      </c>
      <c r="G19" s="7" t="str">
        <f aca="false">HYPERLINK(CONCATENATE("http://crfop.gdos.gov.pl/CRFOP/widok/viewobszarchronionegokrajobrazu.jsf?fop=","PL.ZIPOP.1393.OCHK.272"),"(kliknij lub Ctrl+kliknij)")</f>
        <v>(kliknij lub Ctrl+kliknij)</v>
      </c>
    </row>
    <row r="20" customFormat="false" ht="12.8" hidden="false" customHeight="false" outlineLevel="0" collapsed="false">
      <c r="A20" s="1" t="s">
        <v>8</v>
      </c>
      <c r="B20" s="2" t="s">
        <v>67</v>
      </c>
      <c r="C20" s="3" t="s">
        <v>18</v>
      </c>
      <c r="D20" s="4" t="s">
        <v>68</v>
      </c>
      <c r="F20" s="6" t="s">
        <v>20</v>
      </c>
      <c r="G20" s="7" t="str">
        <f aca="false">HYPERLINK(CONCATENATE("http://crfop.gdos.gov.pl/CRFOP/widok/viewobszarchronionegokrajobrazu.jsf?fop=","PL.ZIPOP.1393.OCHK.518"),"(kliknij lub Ctrl+kliknij)")</f>
        <v>(kliknij lub Ctrl+kliknij)</v>
      </c>
    </row>
    <row r="21" customFormat="false" ht="12.8" hidden="false" customHeight="false" outlineLevel="0" collapsed="false">
      <c r="A21" s="1" t="s">
        <v>8</v>
      </c>
      <c r="B21" s="2" t="s">
        <v>69</v>
      </c>
      <c r="C21" s="3" t="s">
        <v>70</v>
      </c>
      <c r="D21" s="4" t="s">
        <v>71</v>
      </c>
      <c r="F21" s="6" t="s">
        <v>72</v>
      </c>
      <c r="G21" s="7" t="str">
        <f aca="false">HYPERLINK(CONCATENATE("http://crfop.gdos.gov.pl/CRFOP/widok/viewobszarchronionegokrajobrazu.jsf?fop=","PL.ZIPOP.1393.OCHK.536"),"(kliknij lub Ctrl+kliknij)")</f>
        <v>(kliknij lub Ctrl+kliknij)</v>
      </c>
    </row>
    <row r="22" customFormat="false" ht="12.8" hidden="false" customHeight="false" outlineLevel="0" collapsed="false">
      <c r="A22" s="1" t="s">
        <v>8</v>
      </c>
      <c r="B22" s="2" t="s">
        <v>73</v>
      </c>
      <c r="C22" s="3" t="s">
        <v>74</v>
      </c>
      <c r="D22" s="4" t="s">
        <v>75</v>
      </c>
      <c r="F22" s="6" t="s">
        <v>76</v>
      </c>
      <c r="G22" s="7" t="str">
        <f aca="false">HYPERLINK(CONCATENATE("http://crfop.gdos.gov.pl/CRFOP/widok/viewobszarchronionegokrajobrazu.jsf?fop=","PL.ZIPOP.1393.OCHK.543"),"(kliknij lub Ctrl+kliknij)")</f>
        <v>(kliknij lub Ctrl+kliknij)</v>
      </c>
    </row>
    <row r="23" customFormat="false" ht="12.8" hidden="false" customHeight="false" outlineLevel="0" collapsed="false">
      <c r="A23" s="1" t="s">
        <v>8</v>
      </c>
      <c r="B23" s="2" t="s">
        <v>54</v>
      </c>
      <c r="C23" s="3" t="s">
        <v>55</v>
      </c>
      <c r="D23" s="4" t="s">
        <v>77</v>
      </c>
      <c r="F23" s="6" t="s">
        <v>57</v>
      </c>
      <c r="G23" s="7" t="str">
        <f aca="false">HYPERLINK(CONCATENATE("http://crfop.gdos.gov.pl/CRFOP/widok/viewobszarchronionegokrajobrazu.jsf?fop=","PL.ZIPOP.1393.OCHK.547"),"(kliknij lub Ctrl+kliknij)")</f>
        <v>(kliknij lub Ctrl+kliknij)</v>
      </c>
    </row>
    <row r="24" customFormat="false" ht="12.8" hidden="false" customHeight="false" outlineLevel="0" collapsed="false">
      <c r="A24" s="1" t="s">
        <v>8</v>
      </c>
      <c r="B24" s="2" t="s">
        <v>78</v>
      </c>
      <c r="C24" s="3" t="s">
        <v>79</v>
      </c>
      <c r="D24" s="4" t="s">
        <v>80</v>
      </c>
      <c r="F24" s="6" t="s">
        <v>81</v>
      </c>
      <c r="G24" s="7" t="str">
        <f aca="false">HYPERLINK(CONCATENATE("http://crfop.gdos.gov.pl/CRFOP/widok/viewobszarchronionegokrajobrazu.jsf?fop=","PL.ZIPOP.1393.OCHK.557"),"(kliknij lub Ctrl+kliknij)")</f>
        <v>(kliknij lub Ctrl+kliknij)</v>
      </c>
    </row>
    <row r="25" customFormat="false" ht="12.8" hidden="false" customHeight="false" outlineLevel="0" collapsed="false">
      <c r="A25" s="1" t="s">
        <v>8</v>
      </c>
      <c r="B25" s="2" t="s">
        <v>82</v>
      </c>
      <c r="C25" s="3" t="s">
        <v>83</v>
      </c>
      <c r="D25" s="4" t="s">
        <v>84</v>
      </c>
      <c r="F25" s="6" t="s">
        <v>85</v>
      </c>
      <c r="G25" s="7" t="str">
        <f aca="false">HYPERLINK(CONCATENATE("http://crfop.gdos.gov.pl/CRFOP/widok/viewobszarchronionegokrajobrazu.jsf?fop=","PL.ZIPOP.1393.OCHK.595"),"(kliknij lub Ctrl+kliknij)")</f>
        <v>(kliknij lub Ctrl+kliknij)</v>
      </c>
    </row>
    <row r="26" customFormat="false" ht="12.8" hidden="false" customHeight="false" outlineLevel="0" collapsed="false">
      <c r="A26" s="1" t="s">
        <v>8</v>
      </c>
      <c r="B26" s="2" t="s">
        <v>86</v>
      </c>
      <c r="C26" s="3" t="s">
        <v>87</v>
      </c>
      <c r="D26" s="4" t="s">
        <v>88</v>
      </c>
      <c r="F26" s="6" t="s">
        <v>89</v>
      </c>
      <c r="G26" s="7" t="str">
        <f aca="false">HYPERLINK(CONCATENATE("http://crfop.gdos.gov.pl/CRFOP/widok/viewobszarchronionegokrajobrazu.jsf?fop=","PL.ZIPOP.1393.OCHK.633"),"(kliknij lub Ctrl+kliknij)")</f>
        <v>(kliknij lub Ctrl+kliknij)</v>
      </c>
    </row>
    <row r="27" customFormat="false" ht="125.55" hidden="false" customHeight="false" outlineLevel="0" collapsed="false">
      <c r="A27" s="1" t="s">
        <v>8</v>
      </c>
      <c r="B27" s="2" t="s">
        <v>90</v>
      </c>
      <c r="C27" s="3" t="s">
        <v>91</v>
      </c>
      <c r="D27" s="4" t="s">
        <v>92</v>
      </c>
      <c r="F27" s="10" t="s">
        <v>93</v>
      </c>
      <c r="G27" s="7" t="str">
        <f aca="false">HYPERLINK(CONCATENATE("http://crfop.gdos.gov.pl/CRFOP/widok/viewobszarchronionegokrajobrazu.jsf?fop=","PL.ZIPOP.1393.OCHK.643"),"(kliknij lub Ctrl+kliknij)")</f>
        <v>(kliknij lub Ctrl+kliknij)</v>
      </c>
    </row>
    <row r="28" customFormat="false" ht="12.8" hidden="false" customHeight="false" outlineLevel="0" collapsed="false">
      <c r="A28" s="1" t="s">
        <v>8</v>
      </c>
      <c r="B28" s="2" t="s">
        <v>94</v>
      </c>
      <c r="C28" s="3" t="s">
        <v>95</v>
      </c>
      <c r="D28" s="4" t="s">
        <v>96</v>
      </c>
      <c r="F28" s="6" t="s">
        <v>97</v>
      </c>
      <c r="G28" s="7" t="str">
        <f aca="false">HYPERLINK(CONCATENATE("http://crfop.gdos.gov.pl/CRFOP/widok/viewobszarchronionegokrajobrazu.jsf?fop=","PL.ZIPOP.1393.OCHK.654"),"(kliknij lub Ctrl+kliknij)")</f>
        <v>(kliknij lub Ctrl+kliknij)</v>
      </c>
    </row>
    <row r="29" customFormat="false" ht="12.8" hidden="false" customHeight="false" outlineLevel="0" collapsed="false">
      <c r="A29" s="1" t="s">
        <v>98</v>
      </c>
      <c r="B29" s="2" t="s">
        <v>99</v>
      </c>
      <c r="C29" s="3" t="s">
        <v>100</v>
      </c>
      <c r="D29" s="4" t="s">
        <v>101</v>
      </c>
      <c r="E29" s="5" t="s">
        <v>102</v>
      </c>
      <c r="F29" s="6" t="s">
        <v>103</v>
      </c>
      <c r="G29" s="7" t="str">
        <f aca="false">HYPERLINK(CONCATENATE("http://crfop.gdos.gov.pl/CRFOP/widok/viewparkkrajobrazowy.jsf?fop=","PL.ZIPOP.1393.PK.25"),"(kliknij lub Ctrl+kliknij)")</f>
        <v>(kliknij lub Ctrl+kliknij)</v>
      </c>
    </row>
    <row r="30" customFormat="false" ht="12.8" hidden="false" customHeight="false" outlineLevel="0" collapsed="false">
      <c r="A30" s="1" t="s">
        <v>98</v>
      </c>
      <c r="B30" s="2" t="s">
        <v>104</v>
      </c>
      <c r="C30" s="3" t="s">
        <v>18</v>
      </c>
      <c r="D30" s="4" t="s">
        <v>105</v>
      </c>
      <c r="E30" s="5" t="s">
        <v>106</v>
      </c>
      <c r="F30" s="6" t="s">
        <v>20</v>
      </c>
      <c r="G30" s="7" t="str">
        <f aca="false">HYPERLINK(CONCATENATE("http://crfop.gdos.gov.pl/CRFOP/widok/viewparkkrajobrazowy.jsf?fop=","PL.ZIPOP.1393.PK.135"),"(kliknij lub Ctrl+kliknij)")</f>
        <v>(kliknij lub Ctrl+kliknij)</v>
      </c>
    </row>
    <row r="31" customFormat="false" ht="12.8" hidden="false" customHeight="false" outlineLevel="0" collapsed="false">
      <c r="A31" s="1" t="s">
        <v>98</v>
      </c>
      <c r="B31" s="2" t="s">
        <v>107</v>
      </c>
      <c r="C31" s="3" t="s">
        <v>108</v>
      </c>
      <c r="D31" s="4" t="s">
        <v>109</v>
      </c>
      <c r="F31" s="6" t="s">
        <v>110</v>
      </c>
      <c r="G31" s="7" t="str">
        <f aca="false">HYPERLINK(CONCATENATE("http://crfop.gdos.gov.pl/CRFOP/widok/viewparkkrajobrazowy.jsf?fop=","PL.ZIPOP.1393.PK.48"),"(kliknij lub Ctrl+kliknij)")</f>
        <v>(kliknij lub Ctrl+kliknij)</v>
      </c>
    </row>
    <row r="32" customFormat="false" ht="12.8" hidden="false" customHeight="false" outlineLevel="0" collapsed="false">
      <c r="A32" s="1" t="s">
        <v>98</v>
      </c>
      <c r="B32" s="2" t="s">
        <v>111</v>
      </c>
      <c r="C32" s="3" t="s">
        <v>112</v>
      </c>
      <c r="D32" s="4" t="s">
        <v>113</v>
      </c>
      <c r="E32" s="5" t="s">
        <v>114</v>
      </c>
      <c r="F32" s="6" t="s">
        <v>115</v>
      </c>
      <c r="G32" s="7" t="str">
        <f aca="false">HYPERLINK(CONCATENATE("http://crfop.gdos.gov.pl/CRFOP/widok/viewparkkrajobrazowy.jsf?fop=","PL.ZIPOP.1393.PK.83"),"(kliknij lub Ctrl+kliknij)")</f>
        <v>(kliknij lub Ctrl+kliknij)</v>
      </c>
    </row>
    <row r="33" customFormat="false" ht="12.8" hidden="false" customHeight="false" outlineLevel="0" collapsed="false">
      <c r="A33" s="1" t="s">
        <v>98</v>
      </c>
      <c r="B33" s="2" t="s">
        <v>116</v>
      </c>
      <c r="C33" s="3" t="s">
        <v>117</v>
      </c>
      <c r="D33" s="4" t="s">
        <v>118</v>
      </c>
      <c r="E33" s="5" t="s">
        <v>119</v>
      </c>
      <c r="F33" s="6" t="s">
        <v>120</v>
      </c>
      <c r="G33" s="7" t="str">
        <f aca="false">HYPERLINK(CONCATENATE("http://crfop.gdos.gov.pl/CRFOP/widok/viewparkkrajobrazowy.jsf?fop=","PL.ZIPOP.1393.PK.62"),"(kliknij lub Ctrl+kliknij)")</f>
        <v>(kliknij lub Ctrl+kliknij)</v>
      </c>
    </row>
    <row r="34" customFormat="false" ht="12.8" hidden="false" customHeight="false" outlineLevel="0" collapsed="false">
      <c r="A34" s="1" t="s">
        <v>98</v>
      </c>
      <c r="B34" s="2" t="s">
        <v>121</v>
      </c>
      <c r="C34" s="3" t="s">
        <v>122</v>
      </c>
      <c r="D34" s="4" t="s">
        <v>123</v>
      </c>
      <c r="E34" s="5" t="s">
        <v>124</v>
      </c>
      <c r="F34" s="6" t="s">
        <v>125</v>
      </c>
      <c r="G34" s="7" t="str">
        <f aca="false">HYPERLINK(CONCATENATE("http://crfop.gdos.gov.pl/CRFOP/widok/viewparkkrajobrazowy.jsf?fop=","PL.ZIPOP.1393.PK.2"),"(kliknij lub Ctrl+kliknij)")</f>
        <v>(kliknij lub Ctrl+kliknij)</v>
      </c>
    </row>
    <row r="35" customFormat="false" ht="12.8" hidden="false" customHeight="false" outlineLevel="0" collapsed="false">
      <c r="A35" s="1" t="s">
        <v>98</v>
      </c>
      <c r="B35" s="2" t="s">
        <v>126</v>
      </c>
      <c r="C35" s="3" t="s">
        <v>127</v>
      </c>
      <c r="D35" s="4" t="s">
        <v>128</v>
      </c>
      <c r="E35" s="5" t="s">
        <v>129</v>
      </c>
      <c r="F35" s="6" t="s">
        <v>130</v>
      </c>
      <c r="G35" s="7" t="str">
        <f aca="false">HYPERLINK(CONCATENATE("http://crfop.gdos.gov.pl/CRFOP/widok/viewparkkrajobrazowy.jsf?fop=","PL.ZIPOP.1393.PK.67"),"(kliknij lub Ctrl+kliknij)")</f>
        <v>(kliknij lub Ctrl+kliknij)</v>
      </c>
    </row>
    <row r="36" customFormat="false" ht="12.8" hidden="false" customHeight="false" outlineLevel="0" collapsed="false">
      <c r="A36" s="1" t="s">
        <v>98</v>
      </c>
      <c r="B36" s="2" t="s">
        <v>121</v>
      </c>
      <c r="C36" s="3" t="s">
        <v>95</v>
      </c>
      <c r="D36" s="4" t="s">
        <v>131</v>
      </c>
      <c r="E36" s="5" t="s">
        <v>96</v>
      </c>
      <c r="F36" s="6" t="s">
        <v>132</v>
      </c>
      <c r="G36" s="7" t="str">
        <f aca="false">HYPERLINK(CONCATENATE("http://crfop.gdos.gov.pl/CRFOP/widok/viewparkkrajobrazowy.jsf?fop=","PL.ZIPOP.1393.PK.151"),"(kliknij lub Ctrl+kliknij)")</f>
        <v>(kliknij lub Ctrl+kliknij)</v>
      </c>
    </row>
    <row r="37" customFormat="false" ht="12.8" hidden="false" customHeight="false" outlineLevel="0" collapsed="false">
      <c r="A37" s="1" t="s">
        <v>133</v>
      </c>
      <c r="B37" s="2" t="s">
        <v>134</v>
      </c>
      <c r="C37" s="3" t="s">
        <v>135</v>
      </c>
      <c r="D37" s="4" t="s">
        <v>136</v>
      </c>
      <c r="F37" s="6" t="s">
        <v>137</v>
      </c>
      <c r="G37" s="7" t="str">
        <f aca="false">HYPERLINK(CONCATENATE("http://crfop.gdos.gov.pl/CRFOP/widok/viewrezerwatprzyrody.jsf?fop=","PL.ZIPOP.1393.RP.36"),"(kliknij lub Ctrl+kliknij)")</f>
        <v>(kliknij lub Ctrl+kliknij)</v>
      </c>
    </row>
    <row r="38" customFormat="false" ht="12.8" hidden="false" customHeight="false" outlineLevel="0" collapsed="false">
      <c r="A38" s="1" t="s">
        <v>133</v>
      </c>
      <c r="B38" s="2" t="s">
        <v>138</v>
      </c>
      <c r="C38" s="3" t="s">
        <v>135</v>
      </c>
      <c r="D38" s="4" t="s">
        <v>139</v>
      </c>
      <c r="F38" s="6" t="s">
        <v>137</v>
      </c>
      <c r="G38" s="7" t="str">
        <f aca="false">HYPERLINK(CONCATENATE("http://crfop.gdos.gov.pl/CRFOP/widok/viewrezerwatprzyrody.jsf?fop=","PL.ZIPOP.1393.RP.43"),"(kliknij lub Ctrl+kliknij)")</f>
        <v>(kliknij lub Ctrl+kliknij)</v>
      </c>
    </row>
    <row r="39" customFormat="false" ht="12.8" hidden="false" customHeight="false" outlineLevel="0" collapsed="false">
      <c r="A39" s="1" t="s">
        <v>133</v>
      </c>
      <c r="B39" s="2" t="s">
        <v>140</v>
      </c>
      <c r="C39" s="3" t="s">
        <v>141</v>
      </c>
      <c r="D39" s="4" t="s">
        <v>142</v>
      </c>
      <c r="F39" s="6" t="s">
        <v>143</v>
      </c>
      <c r="G39" s="7" t="str">
        <f aca="false">HYPERLINK(CONCATENATE("http://crfop.gdos.gov.pl/CRFOP/widok/viewrezerwatprzyrody.jsf?fop=","PL.ZIPOP.1393.RP.41"),"(kliknij lub Ctrl+kliknij)")</f>
        <v>(kliknij lub Ctrl+kliknij)</v>
      </c>
    </row>
    <row r="40" customFormat="false" ht="12.8" hidden="false" customHeight="false" outlineLevel="0" collapsed="false">
      <c r="A40" s="1" t="s">
        <v>133</v>
      </c>
      <c r="B40" s="2" t="s">
        <v>144</v>
      </c>
      <c r="C40" s="3" t="s">
        <v>135</v>
      </c>
      <c r="D40" s="4" t="s">
        <v>145</v>
      </c>
      <c r="F40" s="6" t="s">
        <v>146</v>
      </c>
      <c r="G40" s="7" t="str">
        <f aca="false">HYPERLINK(CONCATENATE("http://crfop.gdos.gov.pl/CRFOP/widok/viewrezerwatprzyrody.jsf?fop=","PL.ZIPOP.1393.RP.45"),"(kliknij lub Ctrl+kliknij)")</f>
        <v>(kliknij lub Ctrl+kliknij)</v>
      </c>
    </row>
    <row r="41" customFormat="false" ht="12.8" hidden="false" customHeight="false" outlineLevel="0" collapsed="false">
      <c r="A41" s="1" t="s">
        <v>133</v>
      </c>
      <c r="B41" s="2" t="s">
        <v>147</v>
      </c>
      <c r="C41" s="3" t="s">
        <v>148</v>
      </c>
      <c r="D41" s="4" t="s">
        <v>149</v>
      </c>
      <c r="F41" s="6" t="s">
        <v>150</v>
      </c>
      <c r="G41" s="7" t="str">
        <f aca="false">HYPERLINK(CONCATENATE("http://crfop.gdos.gov.pl/CRFOP/widok/viewrezerwatprzyrody.jsf?fop=","PL.ZIPOP.1393.RP.79"),"(kliknij lub Ctrl+kliknij)")</f>
        <v>(kliknij lub Ctrl+kliknij)</v>
      </c>
    </row>
    <row r="42" customFormat="false" ht="12.8" hidden="false" customHeight="false" outlineLevel="0" collapsed="false">
      <c r="A42" s="1" t="s">
        <v>133</v>
      </c>
      <c r="B42" s="2" t="s">
        <v>151</v>
      </c>
      <c r="C42" s="3" t="s">
        <v>152</v>
      </c>
      <c r="D42" s="4" t="s">
        <v>153</v>
      </c>
      <c r="F42" s="6" t="s">
        <v>154</v>
      </c>
      <c r="G42" s="7" t="str">
        <f aca="false">HYPERLINK(CONCATENATE("http://crfop.gdos.gov.pl/CRFOP/widok/viewrezerwatprzyrody.jsf?fop=","PL.ZIPOP.1393.RP.87"),"(kliknij lub Ctrl+kliknij)")</f>
        <v>(kliknij lub Ctrl+kliknij)</v>
      </c>
    </row>
    <row r="43" customFormat="false" ht="12.8" hidden="false" customHeight="false" outlineLevel="0" collapsed="false">
      <c r="A43" s="1" t="s">
        <v>133</v>
      </c>
      <c r="B43" s="2" t="s">
        <v>155</v>
      </c>
      <c r="C43" s="3" t="s">
        <v>156</v>
      </c>
      <c r="D43" s="4" t="s">
        <v>157</v>
      </c>
      <c r="F43" s="6" t="s">
        <v>158</v>
      </c>
      <c r="G43" s="7" t="str">
        <f aca="false">HYPERLINK(CONCATENATE("http://crfop.gdos.gov.pl/CRFOP/widok/viewrezerwatprzyrody.jsf?fop=","PL.ZIPOP.1393.RP.1447"),"(kliknij lub Ctrl+kliknij)")</f>
        <v>(kliknij lub Ctrl+kliknij)</v>
      </c>
    </row>
    <row r="44" customFormat="false" ht="12.8" hidden="false" customHeight="false" outlineLevel="0" collapsed="false">
      <c r="A44" s="1" t="s">
        <v>133</v>
      </c>
      <c r="B44" s="2" t="s">
        <v>159</v>
      </c>
      <c r="C44" s="3" t="s">
        <v>160</v>
      </c>
      <c r="D44" s="4" t="s">
        <v>161</v>
      </c>
      <c r="F44" s="6" t="s">
        <v>162</v>
      </c>
      <c r="G44" s="7" t="str">
        <f aca="false">HYPERLINK(CONCATENATE("http://crfop.gdos.gov.pl/CRFOP/widok/viewrezerwatprzyrody.jsf?fop=","PL.ZIPOP.1393.RP.111"),"(kliknij lub Ctrl+kliknij)")</f>
        <v>(kliknij lub Ctrl+kliknij)</v>
      </c>
    </row>
    <row r="45" customFormat="false" ht="12.8" hidden="false" customHeight="false" outlineLevel="0" collapsed="false">
      <c r="A45" s="1" t="s">
        <v>133</v>
      </c>
      <c r="B45" s="2" t="s">
        <v>163</v>
      </c>
      <c r="C45" s="3" t="s">
        <v>164</v>
      </c>
      <c r="D45" s="4" t="s">
        <v>165</v>
      </c>
      <c r="F45" s="6" t="s">
        <v>166</v>
      </c>
      <c r="G45" s="7" t="str">
        <f aca="false">HYPERLINK(CONCATENATE("http://crfop.gdos.gov.pl/CRFOP/widok/viewrezerwatprzyrody.jsf?fop=","PL.ZIPOP.1393.RP.113"),"(kliknij lub Ctrl+kliknij)")</f>
        <v>(kliknij lub Ctrl+kliknij)</v>
      </c>
    </row>
    <row r="46" customFormat="false" ht="12.8" hidden="false" customHeight="false" outlineLevel="0" collapsed="false">
      <c r="A46" s="1" t="s">
        <v>133</v>
      </c>
      <c r="B46" s="2" t="s">
        <v>167</v>
      </c>
      <c r="C46" s="3" t="s">
        <v>164</v>
      </c>
      <c r="D46" s="4" t="s">
        <v>168</v>
      </c>
      <c r="F46" s="6" t="s">
        <v>169</v>
      </c>
      <c r="G46" s="7" t="str">
        <f aca="false">HYPERLINK(CONCATENATE("http://crfop.gdos.gov.pl/CRFOP/widok/viewrezerwatprzyrody.jsf?fop=","PL.ZIPOP.1393.RP.1213"),"(kliknij lub Ctrl+kliknij)")</f>
        <v>(kliknij lub Ctrl+kliknij)</v>
      </c>
    </row>
    <row r="47" customFormat="false" ht="12.8" hidden="false" customHeight="false" outlineLevel="0" collapsed="false">
      <c r="A47" s="1" t="s">
        <v>133</v>
      </c>
      <c r="B47" s="2" t="s">
        <v>170</v>
      </c>
      <c r="C47" s="3" t="s">
        <v>171</v>
      </c>
      <c r="D47" s="4" t="s">
        <v>172</v>
      </c>
      <c r="F47" s="6" t="s">
        <v>173</v>
      </c>
      <c r="G47" s="7" t="str">
        <f aca="false">HYPERLINK(CONCATENATE("http://crfop.gdos.gov.pl/CRFOP/widok/viewrezerwatprzyrody.jsf?fop=","PL.ZIPOP.1393.RP.856"),"(kliknij lub Ctrl+kliknij)")</f>
        <v>(kliknij lub Ctrl+kliknij)</v>
      </c>
    </row>
    <row r="48" customFormat="false" ht="12.8" hidden="false" customHeight="false" outlineLevel="0" collapsed="false">
      <c r="A48" s="1" t="s">
        <v>133</v>
      </c>
      <c r="B48" s="2" t="s">
        <v>174</v>
      </c>
      <c r="C48" s="3" t="s">
        <v>175</v>
      </c>
      <c r="D48" s="4" t="s">
        <v>176</v>
      </c>
      <c r="F48" s="6" t="s">
        <v>177</v>
      </c>
      <c r="G48" s="7" t="str">
        <f aca="false">HYPERLINK(CONCATENATE("http://crfop.gdos.gov.pl/CRFOP/widok/viewrezerwatprzyrody.jsf?fop=","PL.ZIPOP.1393.RP.114"),"(kliknij lub Ctrl+kliknij)")</f>
        <v>(kliknij lub Ctrl+kliknij)</v>
      </c>
    </row>
    <row r="49" customFormat="false" ht="12.8" hidden="false" customHeight="false" outlineLevel="0" collapsed="false">
      <c r="A49" s="1" t="s">
        <v>133</v>
      </c>
      <c r="B49" s="2" t="s">
        <v>178</v>
      </c>
      <c r="C49" s="3" t="s">
        <v>179</v>
      </c>
      <c r="D49" s="4" t="s">
        <v>180</v>
      </c>
      <c r="F49" s="6" t="s">
        <v>181</v>
      </c>
      <c r="G49" s="7" t="str">
        <f aca="false">HYPERLINK(CONCATENATE("http://crfop.gdos.gov.pl/CRFOP/widok/viewrezerwatprzyrody.jsf?fop=","PL.ZIPOP.1393.RP.147"),"(kliknij lub Ctrl+kliknij)")</f>
        <v>(kliknij lub Ctrl+kliknij)</v>
      </c>
    </row>
    <row r="50" customFormat="false" ht="12.8" hidden="false" customHeight="false" outlineLevel="0" collapsed="false">
      <c r="A50" s="1" t="s">
        <v>133</v>
      </c>
      <c r="B50" s="2" t="s">
        <v>182</v>
      </c>
      <c r="C50" s="3" t="s">
        <v>183</v>
      </c>
      <c r="D50" s="4" t="s">
        <v>184</v>
      </c>
      <c r="F50" s="6" t="s">
        <v>185</v>
      </c>
      <c r="G50" s="7" t="str">
        <f aca="false">HYPERLINK(CONCATENATE("http://crfop.gdos.gov.pl/CRFOP/widok/viewrezerwatprzyrody.jsf?fop=","PL.ZIPOP.1393.RP.151"),"(kliknij lub Ctrl+kliknij)")</f>
        <v>(kliknij lub Ctrl+kliknij)</v>
      </c>
    </row>
    <row r="51" customFormat="false" ht="12.8" hidden="false" customHeight="false" outlineLevel="0" collapsed="false">
      <c r="A51" s="1" t="s">
        <v>133</v>
      </c>
      <c r="B51" s="2" t="s">
        <v>186</v>
      </c>
      <c r="C51" s="3" t="s">
        <v>187</v>
      </c>
      <c r="D51" s="4" t="s">
        <v>188</v>
      </c>
      <c r="F51" s="6" t="s">
        <v>189</v>
      </c>
      <c r="G51" s="7" t="str">
        <f aca="false">HYPERLINK(CONCATENATE("http://crfop.gdos.gov.pl/CRFOP/widok/viewrezerwatprzyrody.jsf?fop=","PL.ZIPOP.1393.RP.163"),"(kliknij lub Ctrl+kliknij)")</f>
        <v>(kliknij lub Ctrl+kliknij)</v>
      </c>
    </row>
    <row r="52" customFormat="false" ht="12.8" hidden="false" customHeight="false" outlineLevel="0" collapsed="false">
      <c r="A52" s="1" t="s">
        <v>133</v>
      </c>
      <c r="B52" s="2" t="s">
        <v>190</v>
      </c>
      <c r="C52" s="3" t="s">
        <v>187</v>
      </c>
      <c r="D52" s="4" t="s">
        <v>191</v>
      </c>
      <c r="F52" s="6" t="s">
        <v>192</v>
      </c>
      <c r="G52" s="7" t="str">
        <f aca="false">HYPERLINK(CONCATENATE("http://crfop.gdos.gov.pl/CRFOP/widok/viewrezerwatprzyrody.jsf?fop=","PL.ZIPOP.1393.RP.164"),"(kliknij lub Ctrl+kliknij)")</f>
        <v>(kliknij lub Ctrl+kliknij)</v>
      </c>
    </row>
    <row r="53" customFormat="false" ht="12.8" hidden="false" customHeight="false" outlineLevel="0" collapsed="false">
      <c r="A53" s="1" t="s">
        <v>133</v>
      </c>
      <c r="B53" s="2" t="s">
        <v>193</v>
      </c>
      <c r="C53" s="3" t="s">
        <v>194</v>
      </c>
      <c r="D53" s="4" t="s">
        <v>195</v>
      </c>
      <c r="F53" s="6" t="s">
        <v>196</v>
      </c>
      <c r="G53" s="7" t="str">
        <f aca="false">HYPERLINK(CONCATENATE("http://crfop.gdos.gov.pl/CRFOP/widok/viewrezerwatprzyrody.jsf?fop=","PL.ZIPOP.1393.RP.168"),"(kliknij lub Ctrl+kliknij)")</f>
        <v>(kliknij lub Ctrl+kliknij)</v>
      </c>
    </row>
    <row r="54" customFormat="false" ht="12.8" hidden="false" customHeight="false" outlineLevel="0" collapsed="false">
      <c r="A54" s="1" t="s">
        <v>133</v>
      </c>
      <c r="B54" s="2" t="s">
        <v>197</v>
      </c>
      <c r="C54" s="3" t="s">
        <v>198</v>
      </c>
      <c r="D54" s="4" t="s">
        <v>199</v>
      </c>
      <c r="F54" s="6" t="s">
        <v>200</v>
      </c>
      <c r="G54" s="7" t="str">
        <f aca="false">HYPERLINK(CONCATENATE("http://crfop.gdos.gov.pl/CRFOP/widok/viewrezerwatprzyrody.jsf?fop=","PL.ZIPOP.1393.RP.176"),"(kliknij lub Ctrl+kliknij)")</f>
        <v>(kliknij lub Ctrl+kliknij)</v>
      </c>
    </row>
    <row r="55" customFormat="false" ht="12.8" hidden="false" customHeight="false" outlineLevel="0" collapsed="false">
      <c r="A55" s="1" t="s">
        <v>133</v>
      </c>
      <c r="B55" s="2" t="s">
        <v>201</v>
      </c>
      <c r="C55" s="3" t="s">
        <v>202</v>
      </c>
      <c r="D55" s="4" t="s">
        <v>203</v>
      </c>
      <c r="F55" s="6" t="s">
        <v>204</v>
      </c>
      <c r="G55" s="7" t="str">
        <f aca="false">HYPERLINK(CONCATENATE("http://crfop.gdos.gov.pl/CRFOP/widok/viewrezerwatprzyrody.jsf?fop=","PL.ZIPOP.1393.RP.185"),"(kliknij lub Ctrl+kliknij)")</f>
        <v>(kliknij lub Ctrl+kliknij)</v>
      </c>
    </row>
    <row r="56" customFormat="false" ht="12.8" hidden="false" customHeight="false" outlineLevel="0" collapsed="false">
      <c r="A56" s="1" t="s">
        <v>133</v>
      </c>
      <c r="B56" s="2" t="s">
        <v>205</v>
      </c>
      <c r="C56" s="3" t="s">
        <v>206</v>
      </c>
      <c r="D56" s="4" t="s">
        <v>207</v>
      </c>
      <c r="F56" s="6" t="s">
        <v>208</v>
      </c>
      <c r="G56" s="7" t="str">
        <f aca="false">HYPERLINK(CONCATENATE("http://crfop.gdos.gov.pl/CRFOP/widok/viewrezerwatprzyrody.jsf?fop=","PL.ZIPOP.1393.RP.205"),"(kliknij lub Ctrl+kliknij)")</f>
        <v>(kliknij lub Ctrl+kliknij)</v>
      </c>
    </row>
    <row r="57" customFormat="false" ht="12.8" hidden="false" customHeight="false" outlineLevel="0" collapsed="false">
      <c r="A57" s="1" t="s">
        <v>133</v>
      </c>
      <c r="B57" s="2" t="s">
        <v>209</v>
      </c>
      <c r="C57" s="3" t="s">
        <v>210</v>
      </c>
      <c r="D57" s="4" t="s">
        <v>211</v>
      </c>
      <c r="F57" s="6" t="s">
        <v>212</v>
      </c>
      <c r="G57" s="7" t="str">
        <f aca="false">HYPERLINK(CONCATENATE("http://crfop.gdos.gov.pl/CRFOP/widok/viewrezerwatprzyrody.jsf?fop=","PL.ZIPOP.1393.RP.208"),"(kliknij lub Ctrl+kliknij)")</f>
        <v>(kliknij lub Ctrl+kliknij)</v>
      </c>
    </row>
    <row r="58" customFormat="false" ht="12.8" hidden="false" customHeight="false" outlineLevel="0" collapsed="false">
      <c r="A58" s="1" t="s">
        <v>133</v>
      </c>
      <c r="B58" s="2" t="s">
        <v>213</v>
      </c>
      <c r="C58" s="3" t="s">
        <v>214</v>
      </c>
      <c r="D58" s="4" t="s">
        <v>215</v>
      </c>
      <c r="F58" s="6" t="s">
        <v>216</v>
      </c>
      <c r="G58" s="7" t="str">
        <f aca="false">HYPERLINK(CONCATENATE("http://crfop.gdos.gov.pl/CRFOP/widok/viewrezerwatprzyrody.jsf?fop=","PL.ZIPOP.1393.RP.1416"),"(kliknij lub Ctrl+kliknij)")</f>
        <v>(kliknij lub Ctrl+kliknij)</v>
      </c>
    </row>
    <row r="59" customFormat="false" ht="12.8" hidden="false" customHeight="false" outlineLevel="0" collapsed="false">
      <c r="A59" s="1" t="s">
        <v>133</v>
      </c>
      <c r="B59" s="2" t="s">
        <v>217</v>
      </c>
      <c r="C59" s="3" t="s">
        <v>218</v>
      </c>
      <c r="D59" s="4" t="s">
        <v>219</v>
      </c>
      <c r="F59" s="6" t="s">
        <v>220</v>
      </c>
      <c r="G59" s="7" t="str">
        <f aca="false">HYPERLINK(CONCATENATE("http://crfop.gdos.gov.pl/CRFOP/widok/viewrezerwatprzyrody.jsf?fop=","PL.ZIPOP.1393.RP.238"),"(kliknij lub Ctrl+kliknij)")</f>
        <v>(kliknij lub Ctrl+kliknij)</v>
      </c>
    </row>
    <row r="60" customFormat="false" ht="12.8" hidden="false" customHeight="false" outlineLevel="0" collapsed="false">
      <c r="A60" s="1" t="s">
        <v>133</v>
      </c>
      <c r="B60" s="2" t="s">
        <v>221</v>
      </c>
      <c r="C60" s="3" t="s">
        <v>222</v>
      </c>
      <c r="D60" s="4" t="s">
        <v>223</v>
      </c>
      <c r="F60" s="6" t="s">
        <v>224</v>
      </c>
      <c r="G60" s="7" t="str">
        <f aca="false">HYPERLINK(CONCATENATE("http://crfop.gdos.gov.pl/CRFOP/widok/viewrezerwatprzyrody.jsf?fop=","PL.ZIPOP.1393.RP.1445"),"(kliknij lub Ctrl+kliknij)")</f>
        <v>(kliknij lub Ctrl+kliknij)</v>
      </c>
    </row>
    <row r="61" customFormat="false" ht="12.8" hidden="false" customHeight="false" outlineLevel="0" collapsed="false">
      <c r="A61" s="1" t="s">
        <v>133</v>
      </c>
      <c r="B61" s="2" t="s">
        <v>225</v>
      </c>
      <c r="C61" s="3" t="s">
        <v>226</v>
      </c>
      <c r="D61" s="4" t="s">
        <v>227</v>
      </c>
      <c r="F61" s="6" t="s">
        <v>228</v>
      </c>
      <c r="G61" s="7" t="str">
        <f aca="false">HYPERLINK(CONCATENATE("http://crfop.gdos.gov.pl/CRFOP/widok/viewrezerwatprzyrody.jsf?fop=","PL.ZIPOP.1393.RP.253"),"(kliknij lub Ctrl+kliknij)")</f>
        <v>(kliknij lub Ctrl+kliknij)</v>
      </c>
    </row>
    <row r="62" customFormat="false" ht="12.8" hidden="false" customHeight="false" outlineLevel="0" collapsed="false">
      <c r="A62" s="1" t="s">
        <v>133</v>
      </c>
      <c r="B62" s="2" t="s">
        <v>229</v>
      </c>
      <c r="C62" s="3" t="s">
        <v>230</v>
      </c>
      <c r="D62" s="4" t="s">
        <v>231</v>
      </c>
      <c r="F62" s="6" t="s">
        <v>232</v>
      </c>
      <c r="G62" s="7" t="str">
        <f aca="false">HYPERLINK(CONCATENATE("http://crfop.gdos.gov.pl/CRFOP/widok/viewrezerwatprzyrody.jsf?fop=","PL.ZIPOP.1393.RP.265"),"(kliknij lub Ctrl+kliknij)")</f>
        <v>(kliknij lub Ctrl+kliknij)</v>
      </c>
    </row>
    <row r="63" customFormat="false" ht="12.8" hidden="false" customHeight="false" outlineLevel="0" collapsed="false">
      <c r="A63" s="1" t="s">
        <v>133</v>
      </c>
      <c r="B63" s="2" t="s">
        <v>233</v>
      </c>
      <c r="C63" s="3" t="s">
        <v>234</v>
      </c>
      <c r="D63" s="4" t="s">
        <v>235</v>
      </c>
      <c r="F63" s="6" t="s">
        <v>236</v>
      </c>
      <c r="G63" s="7" t="str">
        <f aca="false">HYPERLINK(CONCATENATE("http://crfop.gdos.gov.pl/CRFOP/widok/viewrezerwatprzyrody.jsf?fop=","PL.ZIPOP.1393.RP.1273"),"(kliknij lub Ctrl+kliknij)")</f>
        <v>(kliknij lub Ctrl+kliknij)</v>
      </c>
    </row>
    <row r="64" customFormat="false" ht="12.8" hidden="false" customHeight="false" outlineLevel="0" collapsed="false">
      <c r="A64" s="1" t="s">
        <v>133</v>
      </c>
      <c r="B64" s="2" t="s">
        <v>237</v>
      </c>
      <c r="C64" s="3" t="s">
        <v>234</v>
      </c>
      <c r="D64" s="4" t="s">
        <v>238</v>
      </c>
      <c r="F64" s="6" t="s">
        <v>236</v>
      </c>
      <c r="G64" s="7" t="str">
        <f aca="false">HYPERLINK(CONCATENATE("http://crfop.gdos.gov.pl/CRFOP/widok/viewrezerwatprzyrody.jsf?fop=","PL.ZIPOP.1393.RP.281"),"(kliknij lub Ctrl+kliknij)")</f>
        <v>(kliknij lub Ctrl+kliknij)</v>
      </c>
    </row>
    <row r="65" customFormat="false" ht="12.8" hidden="false" customHeight="false" outlineLevel="0" collapsed="false">
      <c r="A65" s="1" t="s">
        <v>133</v>
      </c>
      <c r="B65" s="2" t="s">
        <v>239</v>
      </c>
      <c r="C65" s="3" t="s">
        <v>240</v>
      </c>
      <c r="D65" s="4" t="s">
        <v>241</v>
      </c>
      <c r="F65" s="6" t="s">
        <v>242</v>
      </c>
      <c r="G65" s="7" t="str">
        <f aca="false">HYPERLINK(CONCATENATE("http://crfop.gdos.gov.pl/CRFOP/widok/viewrezerwatprzyrody.jsf?fop=","PL.ZIPOP.1393.RP.315"),"(kliknij lub Ctrl+kliknij)")</f>
        <v>(kliknij lub Ctrl+kliknij)</v>
      </c>
    </row>
    <row r="66" customFormat="false" ht="12.8" hidden="false" customHeight="false" outlineLevel="0" collapsed="false">
      <c r="A66" s="1" t="s">
        <v>133</v>
      </c>
      <c r="B66" s="2" t="s">
        <v>243</v>
      </c>
      <c r="C66" s="3" t="s">
        <v>240</v>
      </c>
      <c r="D66" s="4" t="s">
        <v>244</v>
      </c>
      <c r="F66" s="6" t="s">
        <v>242</v>
      </c>
      <c r="G66" s="7" t="str">
        <f aca="false">HYPERLINK(CONCATENATE("http://crfop.gdos.gov.pl/CRFOP/widok/viewrezerwatprzyrody.jsf?fop=","PL.ZIPOP.1393.RP.319"),"(kliknij lub Ctrl+kliknij)")</f>
        <v>(kliknij lub Ctrl+kliknij)</v>
      </c>
    </row>
    <row r="67" customFormat="false" ht="12.8" hidden="false" customHeight="false" outlineLevel="0" collapsed="false">
      <c r="A67" s="1" t="s">
        <v>133</v>
      </c>
      <c r="B67" s="2" t="s">
        <v>245</v>
      </c>
      <c r="C67" s="3" t="s">
        <v>240</v>
      </c>
      <c r="D67" s="4" t="s">
        <v>246</v>
      </c>
      <c r="F67" s="6" t="s">
        <v>242</v>
      </c>
      <c r="G67" s="7" t="str">
        <f aca="false">HYPERLINK(CONCATENATE("http://crfop.gdos.gov.pl/CRFOP/widok/viewrezerwatprzyrody.jsf?fop=","PL.ZIPOP.1393.RP.320"),"(kliknij lub Ctrl+kliknij)")</f>
        <v>(kliknij lub Ctrl+kliknij)</v>
      </c>
    </row>
    <row r="68" customFormat="false" ht="12.8" hidden="false" customHeight="false" outlineLevel="0" collapsed="false">
      <c r="A68" s="1" t="s">
        <v>133</v>
      </c>
      <c r="B68" s="2" t="s">
        <v>247</v>
      </c>
      <c r="C68" s="3" t="s">
        <v>248</v>
      </c>
      <c r="D68" s="4" t="s">
        <v>249</v>
      </c>
      <c r="F68" s="6" t="s">
        <v>250</v>
      </c>
      <c r="G68" s="7" t="str">
        <f aca="false">HYPERLINK(CONCATENATE("http://crfop.gdos.gov.pl/CRFOP/widok/viewrezerwatprzyrody.jsf?fop=","PL.ZIPOP.1393.RP.1237"),"(kliknij lub Ctrl+kliknij)")</f>
        <v>(kliknij lub Ctrl+kliknij)</v>
      </c>
    </row>
    <row r="69" customFormat="false" ht="12.8" hidden="false" customHeight="false" outlineLevel="0" collapsed="false">
      <c r="A69" s="1" t="s">
        <v>133</v>
      </c>
      <c r="B69" s="2" t="s">
        <v>251</v>
      </c>
      <c r="C69" s="3" t="s">
        <v>248</v>
      </c>
      <c r="D69" s="4" t="s">
        <v>252</v>
      </c>
      <c r="F69" s="6" t="s">
        <v>250</v>
      </c>
      <c r="G69" s="7" t="str">
        <f aca="false">HYPERLINK(CONCATENATE("http://crfop.gdos.gov.pl/CRFOP/widok/viewrezerwatprzyrody.jsf?fop=","PL.ZIPOP.1393.RP.1231"),"(kliknij lub Ctrl+kliknij)")</f>
        <v>(kliknij lub Ctrl+kliknij)</v>
      </c>
    </row>
    <row r="70" customFormat="false" ht="12.8" hidden="false" customHeight="false" outlineLevel="0" collapsed="false">
      <c r="A70" s="1" t="s">
        <v>133</v>
      </c>
      <c r="B70" s="2" t="s">
        <v>253</v>
      </c>
      <c r="C70" s="3" t="s">
        <v>248</v>
      </c>
      <c r="D70" s="4" t="s">
        <v>254</v>
      </c>
      <c r="F70" s="6" t="s">
        <v>250</v>
      </c>
      <c r="G70" s="7" t="str">
        <f aca="false">HYPERLINK(CONCATENATE("http://crfop.gdos.gov.pl/CRFOP/widok/viewrezerwatprzyrody.jsf?fop=","PL.ZIPOP.1393.RP.324"),"(kliknij lub Ctrl+kliknij)")</f>
        <v>(kliknij lub Ctrl+kliknij)</v>
      </c>
    </row>
    <row r="71" customFormat="false" ht="12.8" hidden="false" customHeight="false" outlineLevel="0" collapsed="false">
      <c r="A71" s="1" t="s">
        <v>133</v>
      </c>
      <c r="B71" s="2" t="s">
        <v>255</v>
      </c>
      <c r="C71" s="3" t="s">
        <v>248</v>
      </c>
      <c r="D71" s="4" t="s">
        <v>256</v>
      </c>
      <c r="F71" s="6" t="s">
        <v>250</v>
      </c>
      <c r="G71" s="7" t="str">
        <f aca="false">HYPERLINK(CONCATENATE("http://crfop.gdos.gov.pl/CRFOP/widok/viewrezerwatprzyrody.jsf?fop=","PL.ZIPOP.1393.RP.325"),"(kliknij lub Ctrl+kliknij)")</f>
        <v>(kliknij lub Ctrl+kliknij)</v>
      </c>
    </row>
    <row r="72" customFormat="false" ht="12.8" hidden="false" customHeight="false" outlineLevel="0" collapsed="false">
      <c r="A72" s="1" t="s">
        <v>133</v>
      </c>
      <c r="B72" s="2" t="s">
        <v>257</v>
      </c>
      <c r="C72" s="3" t="s">
        <v>248</v>
      </c>
      <c r="D72" s="4" t="s">
        <v>258</v>
      </c>
      <c r="F72" s="6" t="s">
        <v>250</v>
      </c>
      <c r="G72" s="7" t="str">
        <f aca="false">HYPERLINK(CONCATENATE("http://crfop.gdos.gov.pl/CRFOP/widok/viewrezerwatprzyrody.jsf?fop=","PL.ZIPOP.1393.RP.1439"),"(kliknij lub Ctrl+kliknij)")</f>
        <v>(kliknij lub Ctrl+kliknij)</v>
      </c>
    </row>
    <row r="73" customFormat="false" ht="12.8" hidden="false" customHeight="false" outlineLevel="0" collapsed="false">
      <c r="A73" s="1" t="s">
        <v>133</v>
      </c>
      <c r="B73" s="2" t="s">
        <v>259</v>
      </c>
      <c r="C73" s="3" t="s">
        <v>260</v>
      </c>
      <c r="D73" s="4" t="s">
        <v>261</v>
      </c>
      <c r="F73" s="6" t="s">
        <v>262</v>
      </c>
      <c r="G73" s="7" t="str">
        <f aca="false">HYPERLINK(CONCATENATE("http://crfop.gdos.gov.pl/CRFOP/widok/viewrezerwatprzyrody.jsf?fop=","PL.ZIPOP.1393.RP.318"),"(kliknij lub Ctrl+kliknij)")</f>
        <v>(kliknij lub Ctrl+kliknij)</v>
      </c>
    </row>
    <row r="74" customFormat="false" ht="12.8" hidden="false" customHeight="false" outlineLevel="0" collapsed="false">
      <c r="A74" s="1" t="s">
        <v>133</v>
      </c>
      <c r="B74" s="2" t="s">
        <v>263</v>
      </c>
      <c r="C74" s="3" t="s">
        <v>264</v>
      </c>
      <c r="D74" s="4" t="s">
        <v>265</v>
      </c>
      <c r="F74" s="6" t="s">
        <v>266</v>
      </c>
      <c r="G74" s="7" t="str">
        <f aca="false">HYPERLINK(CONCATENATE("http://crfop.gdos.gov.pl/CRFOP/widok/viewrezerwatprzyrody.jsf?fop=","PL.ZIPOP.1393.RP.360"),"(kliknij lub Ctrl+kliknij)")</f>
        <v>(kliknij lub Ctrl+kliknij)</v>
      </c>
    </row>
    <row r="75" customFormat="false" ht="12.8" hidden="false" customHeight="false" outlineLevel="0" collapsed="false">
      <c r="A75" s="1" t="s">
        <v>133</v>
      </c>
      <c r="B75" s="2" t="s">
        <v>267</v>
      </c>
      <c r="C75" s="3" t="s">
        <v>268</v>
      </c>
      <c r="D75" s="4" t="s">
        <v>269</v>
      </c>
      <c r="F75" s="6" t="s">
        <v>270</v>
      </c>
      <c r="G75" s="7" t="str">
        <f aca="false">HYPERLINK(CONCATENATE("http://crfop.gdos.gov.pl/CRFOP/widok/viewrezerwatprzyrody.jsf?fop=","PL.ZIPOP.1393.RP.367"),"(kliknij lub Ctrl+kliknij)")</f>
        <v>(kliknij lub Ctrl+kliknij)</v>
      </c>
    </row>
    <row r="76" customFormat="false" ht="12.8" hidden="false" customHeight="false" outlineLevel="0" collapsed="false">
      <c r="A76" s="1" t="s">
        <v>133</v>
      </c>
      <c r="B76" s="2" t="s">
        <v>271</v>
      </c>
      <c r="C76" s="3" t="s">
        <v>272</v>
      </c>
      <c r="D76" s="4" t="s">
        <v>273</v>
      </c>
      <c r="F76" s="6" t="s">
        <v>274</v>
      </c>
      <c r="G76" s="7" t="str">
        <f aca="false">HYPERLINK(CONCATENATE("http://crfop.gdos.gov.pl/CRFOP/widok/viewrezerwatprzyrody.jsf?fop=","PL.ZIPOP.1393.RP.373"),"(kliknij lub Ctrl+kliknij)")</f>
        <v>(kliknij lub Ctrl+kliknij)</v>
      </c>
    </row>
    <row r="77" customFormat="false" ht="12.8" hidden="false" customHeight="false" outlineLevel="0" collapsed="false">
      <c r="A77" s="1" t="s">
        <v>133</v>
      </c>
      <c r="B77" s="2" t="s">
        <v>275</v>
      </c>
      <c r="C77" s="3" t="s">
        <v>272</v>
      </c>
      <c r="D77" s="4" t="s">
        <v>276</v>
      </c>
      <c r="F77" s="6" t="s">
        <v>274</v>
      </c>
      <c r="G77" s="7" t="str">
        <f aca="false">HYPERLINK(CONCATENATE("http://crfop.gdos.gov.pl/CRFOP/widok/viewrezerwatprzyrody.jsf?fop=","PL.ZIPOP.1393.RP.374"),"(kliknij lub Ctrl+kliknij)")</f>
        <v>(kliknij lub Ctrl+kliknij)</v>
      </c>
    </row>
    <row r="78" customFormat="false" ht="12.8" hidden="false" customHeight="false" outlineLevel="0" collapsed="false">
      <c r="A78" s="1" t="s">
        <v>133</v>
      </c>
      <c r="B78" s="2" t="s">
        <v>277</v>
      </c>
      <c r="C78" s="3" t="s">
        <v>272</v>
      </c>
      <c r="D78" s="4" t="s">
        <v>278</v>
      </c>
      <c r="F78" s="6" t="s">
        <v>274</v>
      </c>
      <c r="G78" s="7" t="str">
        <f aca="false">HYPERLINK(CONCATENATE("http://crfop.gdos.gov.pl/CRFOP/widok/viewrezerwatprzyrody.jsf?fop=","PL.ZIPOP.1393.RP.375"),"(kliknij lub Ctrl+kliknij)")</f>
        <v>(kliknij lub Ctrl+kliknij)</v>
      </c>
    </row>
    <row r="79" customFormat="false" ht="12.8" hidden="false" customHeight="false" outlineLevel="0" collapsed="false">
      <c r="A79" s="1" t="s">
        <v>133</v>
      </c>
      <c r="B79" s="2" t="s">
        <v>279</v>
      </c>
      <c r="C79" s="3" t="s">
        <v>280</v>
      </c>
      <c r="D79" s="4" t="s">
        <v>281</v>
      </c>
      <c r="F79" s="6" t="s">
        <v>282</v>
      </c>
      <c r="G79" s="7" t="str">
        <f aca="false">HYPERLINK(CONCATENATE("http://crfop.gdos.gov.pl/CRFOP/widok/viewrezerwatprzyrody.jsf?fop=","PL.ZIPOP.1393.RP.878"),"(kliknij lub Ctrl+kliknij)")</f>
        <v>(kliknij lub Ctrl+kliknij)</v>
      </c>
    </row>
    <row r="80" customFormat="false" ht="12.8" hidden="false" customHeight="false" outlineLevel="0" collapsed="false">
      <c r="A80" s="1" t="s">
        <v>133</v>
      </c>
      <c r="B80" s="2" t="s">
        <v>283</v>
      </c>
      <c r="C80" s="3" t="s">
        <v>280</v>
      </c>
      <c r="D80" s="4" t="s">
        <v>284</v>
      </c>
      <c r="F80" s="6" t="s">
        <v>282</v>
      </c>
      <c r="G80" s="7" t="str">
        <f aca="false">HYPERLINK(CONCATENATE("http://crfop.gdos.gov.pl/CRFOP/widok/viewrezerwatprzyrody.jsf?fop=","PL.ZIPOP.1393.RP.879"),"(kliknij lub Ctrl+kliknij)")</f>
        <v>(kliknij lub Ctrl+kliknij)</v>
      </c>
    </row>
    <row r="81" customFormat="false" ht="12.8" hidden="false" customHeight="false" outlineLevel="0" collapsed="false">
      <c r="A81" s="1" t="s">
        <v>133</v>
      </c>
      <c r="B81" s="2" t="s">
        <v>285</v>
      </c>
      <c r="C81" s="3" t="s">
        <v>286</v>
      </c>
      <c r="D81" s="4" t="s">
        <v>287</v>
      </c>
      <c r="F81" s="6" t="s">
        <v>288</v>
      </c>
      <c r="G81" s="7" t="str">
        <f aca="false">HYPERLINK(CONCATENATE("http://crfop.gdos.gov.pl/CRFOP/widok/viewrezerwatprzyrody.jsf?fop=","PL.ZIPOP.1393.RP.434"),"(kliknij lub Ctrl+kliknij)")</f>
        <v>(kliknij lub Ctrl+kliknij)</v>
      </c>
    </row>
    <row r="82" customFormat="false" ht="12.8" hidden="false" customHeight="false" outlineLevel="0" collapsed="false">
      <c r="A82" s="1" t="s">
        <v>133</v>
      </c>
      <c r="B82" s="2" t="s">
        <v>289</v>
      </c>
      <c r="C82" s="3" t="s">
        <v>290</v>
      </c>
      <c r="D82" s="4" t="s">
        <v>291</v>
      </c>
      <c r="F82" s="6" t="s">
        <v>292</v>
      </c>
      <c r="G82" s="7" t="str">
        <f aca="false">HYPERLINK(CONCATENATE("http://crfop.gdos.gov.pl/CRFOP/widok/viewrezerwatprzyrody.jsf?fop=","PL.ZIPOP.1393.RP.449"),"(kliknij lub Ctrl+kliknij)")</f>
        <v>(kliknij lub Ctrl+kliknij)</v>
      </c>
    </row>
    <row r="83" customFormat="false" ht="12.8" hidden="false" customHeight="false" outlineLevel="0" collapsed="false">
      <c r="A83" s="1" t="s">
        <v>133</v>
      </c>
      <c r="B83" s="2" t="s">
        <v>293</v>
      </c>
      <c r="C83" s="3" t="s">
        <v>290</v>
      </c>
      <c r="D83" s="4" t="s">
        <v>294</v>
      </c>
      <c r="F83" s="6" t="s">
        <v>292</v>
      </c>
      <c r="G83" s="7" t="str">
        <f aca="false">HYPERLINK(CONCATENATE("http://crfop.gdos.gov.pl/CRFOP/widok/viewrezerwatprzyrody.jsf?fop=","PL.ZIPOP.1393.RP.450"),"(kliknij lub Ctrl+kliknij)")</f>
        <v>(kliknij lub Ctrl+kliknij)</v>
      </c>
    </row>
    <row r="84" customFormat="false" ht="12.8" hidden="false" customHeight="false" outlineLevel="0" collapsed="false">
      <c r="A84" s="1" t="s">
        <v>133</v>
      </c>
      <c r="B84" s="2" t="s">
        <v>295</v>
      </c>
      <c r="C84" s="3" t="s">
        <v>290</v>
      </c>
      <c r="D84" s="4" t="s">
        <v>296</v>
      </c>
      <c r="F84" s="6" t="s">
        <v>292</v>
      </c>
      <c r="G84" s="7" t="str">
        <f aca="false">HYPERLINK(CONCATENATE("http://crfop.gdos.gov.pl/CRFOP/widok/viewrezerwatprzyrody.jsf?fop=","PL.ZIPOP.1393.RP.451"),"(kliknij lub Ctrl+kliknij)")</f>
        <v>(kliknij lub Ctrl+kliknij)</v>
      </c>
    </row>
    <row r="85" customFormat="false" ht="12.8" hidden="false" customHeight="false" outlineLevel="0" collapsed="false">
      <c r="A85" s="1" t="s">
        <v>133</v>
      </c>
      <c r="B85" s="2" t="s">
        <v>297</v>
      </c>
      <c r="C85" s="3" t="s">
        <v>290</v>
      </c>
      <c r="D85" s="4" t="s">
        <v>298</v>
      </c>
      <c r="F85" s="6" t="s">
        <v>292</v>
      </c>
      <c r="G85" s="7" t="str">
        <f aca="false">HYPERLINK(CONCATENATE("http://crfop.gdos.gov.pl/CRFOP/widok/viewrezerwatprzyrody.jsf?fop=","PL.ZIPOP.1393.RP.1412"),"(kliknij lub Ctrl+kliknij)")</f>
        <v>(kliknij lub Ctrl+kliknij)</v>
      </c>
    </row>
    <row r="86" customFormat="false" ht="12.8" hidden="false" customHeight="false" outlineLevel="0" collapsed="false">
      <c r="A86" s="1" t="s">
        <v>133</v>
      </c>
      <c r="B86" s="2" t="s">
        <v>299</v>
      </c>
      <c r="C86" s="3" t="s">
        <v>290</v>
      </c>
      <c r="D86" s="4" t="s">
        <v>300</v>
      </c>
      <c r="F86" s="6" t="s">
        <v>301</v>
      </c>
      <c r="G86" s="7" t="str">
        <f aca="false">HYPERLINK(CONCATENATE("http://crfop.gdos.gov.pl/CRFOP/widok/viewrezerwatprzyrody.jsf?fop=","PL.ZIPOP.1393.RP.452"),"(kliknij lub Ctrl+kliknij)")</f>
        <v>(kliknij lub Ctrl+kliknij)</v>
      </c>
    </row>
    <row r="87" customFormat="false" ht="12.8" hidden="false" customHeight="false" outlineLevel="0" collapsed="false">
      <c r="A87" s="1" t="s">
        <v>133</v>
      </c>
      <c r="B87" s="2" t="s">
        <v>302</v>
      </c>
      <c r="C87" s="3" t="s">
        <v>303</v>
      </c>
      <c r="D87" s="4" t="s">
        <v>304</v>
      </c>
      <c r="F87" s="6" t="s">
        <v>305</v>
      </c>
      <c r="G87" s="7" t="str">
        <f aca="false">HYPERLINK(CONCATENATE("http://crfop.gdos.gov.pl/CRFOP/widok/viewrezerwatprzyrody.jsf?fop=","PL.ZIPOP.1393.RP.467"),"(kliknij lub Ctrl+kliknij)")</f>
        <v>(kliknij lub Ctrl+kliknij)</v>
      </c>
    </row>
    <row r="88" customFormat="false" ht="91.65" hidden="false" customHeight="false" outlineLevel="0" collapsed="false">
      <c r="A88" s="1" t="s">
        <v>133</v>
      </c>
      <c r="B88" s="2" t="s">
        <v>306</v>
      </c>
      <c r="C88" s="3" t="s">
        <v>307</v>
      </c>
      <c r="D88" s="4" t="s">
        <v>308</v>
      </c>
      <c r="F88" s="10" t="s">
        <v>309</v>
      </c>
      <c r="G88" s="7" t="str">
        <f aca="false">HYPERLINK(CONCATENATE("http://crfop.gdos.gov.pl/CRFOP/widok/viewrezerwatprzyrody.jsf?fop=","PL.ZIPOP.1393.RP.468"),"(kliknij lub Ctrl+kliknij)")</f>
        <v>(kliknij lub Ctrl+kliknij)</v>
      </c>
    </row>
    <row r="89" customFormat="false" ht="12.8" hidden="false" customHeight="false" outlineLevel="0" collapsed="false">
      <c r="A89" s="1" t="s">
        <v>133</v>
      </c>
      <c r="B89" s="2" t="s">
        <v>310</v>
      </c>
      <c r="C89" s="3" t="s">
        <v>303</v>
      </c>
      <c r="D89" s="4" t="s">
        <v>311</v>
      </c>
      <c r="F89" s="6" t="s">
        <v>305</v>
      </c>
      <c r="G89" s="7" t="str">
        <f aca="false">HYPERLINK(CONCATENATE("http://crfop.gdos.gov.pl/CRFOP/widok/viewrezerwatprzyrody.jsf?fop=","PL.ZIPOP.1393.RP.469"),"(kliknij lub Ctrl+kliknij)")</f>
        <v>(kliknij lub Ctrl+kliknij)</v>
      </c>
    </row>
    <row r="90" customFormat="false" ht="12.8" hidden="false" customHeight="false" outlineLevel="0" collapsed="false">
      <c r="A90" s="1" t="s">
        <v>133</v>
      </c>
      <c r="B90" s="2" t="s">
        <v>312</v>
      </c>
      <c r="C90" s="3" t="s">
        <v>313</v>
      </c>
      <c r="D90" s="4" t="s">
        <v>314</v>
      </c>
      <c r="F90" s="6" t="s">
        <v>315</v>
      </c>
      <c r="G90" s="7" t="str">
        <f aca="false">HYPERLINK(CONCATENATE("http://crfop.gdos.gov.pl/CRFOP/widok/viewrezerwatprzyrody.jsf?fop=","PL.ZIPOP.1393.RP.491"),"(kliknij lub Ctrl+kliknij)")</f>
        <v>(kliknij lub Ctrl+kliknij)</v>
      </c>
    </row>
    <row r="91" customFormat="false" ht="12.8" hidden="false" customHeight="false" outlineLevel="0" collapsed="false">
      <c r="A91" s="1" t="s">
        <v>133</v>
      </c>
      <c r="B91" s="2" t="s">
        <v>316</v>
      </c>
      <c r="C91" s="3" t="s">
        <v>317</v>
      </c>
      <c r="D91" s="4" t="s">
        <v>318</v>
      </c>
      <c r="F91" s="6" t="s">
        <v>319</v>
      </c>
      <c r="G91" s="7" t="str">
        <f aca="false">HYPERLINK(CONCATENATE("http://crfop.gdos.gov.pl/CRFOP/widok/viewrezerwatprzyrody.jsf?fop=","PL.ZIPOP.1393.RP.516"),"(kliknij lub Ctrl+kliknij)")</f>
        <v>(kliknij lub Ctrl+kliknij)</v>
      </c>
    </row>
    <row r="92" customFormat="false" ht="12.8" hidden="false" customHeight="false" outlineLevel="0" collapsed="false">
      <c r="A92" s="1" t="s">
        <v>133</v>
      </c>
      <c r="B92" s="2" t="s">
        <v>320</v>
      </c>
      <c r="C92" s="3" t="s">
        <v>321</v>
      </c>
      <c r="D92" s="4" t="s">
        <v>322</v>
      </c>
      <c r="F92" s="6" t="s">
        <v>323</v>
      </c>
      <c r="G92" s="7" t="str">
        <f aca="false">HYPERLINK(CONCATENATE("http://crfop.gdos.gov.pl/CRFOP/widok/viewrezerwatprzyrody.jsf?fop=","PL.ZIPOP.1393.RP.517"),"(kliknij lub Ctrl+kliknij)")</f>
        <v>(kliknij lub Ctrl+kliknij)</v>
      </c>
    </row>
    <row r="93" customFormat="false" ht="12.8" hidden="false" customHeight="false" outlineLevel="0" collapsed="false">
      <c r="A93" s="1" t="s">
        <v>133</v>
      </c>
      <c r="B93" s="2" t="s">
        <v>324</v>
      </c>
      <c r="C93" s="3" t="s">
        <v>325</v>
      </c>
      <c r="D93" s="4" t="s">
        <v>326</v>
      </c>
      <c r="F93" s="6" t="s">
        <v>327</v>
      </c>
      <c r="G93" s="7" t="str">
        <f aca="false">HYPERLINK(CONCATENATE("http://crfop.gdos.gov.pl/CRFOP/widok/viewrezerwatprzyrody.jsf?fop=","PL.ZIPOP.1393.RP.1419"),"(kliknij lub Ctrl+kliknij)")</f>
        <v>(kliknij lub Ctrl+kliknij)</v>
      </c>
    </row>
    <row r="94" customFormat="false" ht="12.8" hidden="false" customHeight="false" outlineLevel="0" collapsed="false">
      <c r="A94" s="1" t="s">
        <v>133</v>
      </c>
      <c r="B94" s="2" t="s">
        <v>328</v>
      </c>
      <c r="C94" s="3" t="s">
        <v>325</v>
      </c>
      <c r="D94" s="4" t="s">
        <v>329</v>
      </c>
      <c r="F94" s="6" t="s">
        <v>330</v>
      </c>
      <c r="G94" s="7" t="str">
        <f aca="false">HYPERLINK(CONCATENATE("http://crfop.gdos.gov.pl/CRFOP/widok/viewrezerwatprzyrody.jsf?fop=","PL.ZIPOP.1393.RP.538"),"(kliknij lub Ctrl+kliknij)")</f>
        <v>(kliknij lub Ctrl+kliknij)</v>
      </c>
    </row>
    <row r="95" customFormat="false" ht="12.8" hidden="false" customHeight="false" outlineLevel="0" collapsed="false">
      <c r="A95" s="1" t="s">
        <v>133</v>
      </c>
      <c r="B95" s="2" t="s">
        <v>331</v>
      </c>
      <c r="C95" s="3" t="s">
        <v>332</v>
      </c>
      <c r="D95" s="4" t="s">
        <v>333</v>
      </c>
      <c r="F95" s="6" t="s">
        <v>334</v>
      </c>
      <c r="G95" s="7" t="str">
        <f aca="false">HYPERLINK(CONCATENATE("http://crfop.gdos.gov.pl/CRFOP/widok/viewrezerwatprzyrody.jsf?fop=","PL.ZIPOP.1393.RP.1396"),"(kliknij lub Ctrl+kliknij)")</f>
        <v>(kliknij lub Ctrl+kliknij)</v>
      </c>
    </row>
    <row r="96" customFormat="false" ht="12.8" hidden="false" customHeight="false" outlineLevel="0" collapsed="false">
      <c r="A96" s="1" t="s">
        <v>133</v>
      </c>
      <c r="B96" s="2" t="s">
        <v>335</v>
      </c>
      <c r="C96" s="3" t="s">
        <v>336</v>
      </c>
      <c r="D96" s="4" t="s">
        <v>337</v>
      </c>
      <c r="F96" s="6" t="s">
        <v>338</v>
      </c>
      <c r="G96" s="7" t="str">
        <f aca="false">HYPERLINK(CONCATENATE("http://crfop.gdos.gov.pl/CRFOP/widok/viewrezerwatprzyrody.jsf?fop=","PL.ZIPOP.1393.RP.566"),"(kliknij lub Ctrl+kliknij)")</f>
        <v>(kliknij lub Ctrl+kliknij)</v>
      </c>
    </row>
    <row r="97" customFormat="false" ht="12.8" hidden="false" customHeight="false" outlineLevel="0" collapsed="false">
      <c r="A97" s="1" t="s">
        <v>133</v>
      </c>
      <c r="B97" s="2" t="s">
        <v>339</v>
      </c>
      <c r="C97" s="3" t="s">
        <v>340</v>
      </c>
      <c r="D97" s="4" t="s">
        <v>341</v>
      </c>
      <c r="F97" s="6" t="s">
        <v>342</v>
      </c>
      <c r="G97" s="7" t="str">
        <f aca="false">HYPERLINK(CONCATENATE("http://crfop.gdos.gov.pl/CRFOP/widok/viewrezerwatprzyrody.jsf?fop=","PL.ZIPOP.1393.RP.571"),"(kliknij lub Ctrl+kliknij)")</f>
        <v>(kliknij lub Ctrl+kliknij)</v>
      </c>
    </row>
    <row r="98" customFormat="false" ht="12.8" hidden="false" customHeight="false" outlineLevel="0" collapsed="false">
      <c r="A98" s="1" t="s">
        <v>133</v>
      </c>
      <c r="B98" s="2" t="s">
        <v>343</v>
      </c>
      <c r="C98" s="3" t="s">
        <v>340</v>
      </c>
      <c r="D98" s="4" t="s">
        <v>344</v>
      </c>
      <c r="F98" s="6" t="s">
        <v>342</v>
      </c>
      <c r="G98" s="7" t="str">
        <f aca="false">HYPERLINK(CONCATENATE("http://crfop.gdos.gov.pl/CRFOP/widok/viewrezerwatprzyrody.jsf?fop=","PL.ZIPOP.1393.RP.1465"),"(kliknij lub Ctrl+kliknij)")</f>
        <v>(kliknij lub Ctrl+kliknij)</v>
      </c>
    </row>
    <row r="99" customFormat="false" ht="12.8" hidden="false" customHeight="false" outlineLevel="0" collapsed="false">
      <c r="A99" s="1" t="s">
        <v>133</v>
      </c>
      <c r="B99" s="2" t="s">
        <v>345</v>
      </c>
      <c r="C99" s="3" t="s">
        <v>340</v>
      </c>
      <c r="D99" s="4" t="s">
        <v>346</v>
      </c>
      <c r="F99" s="6" t="s">
        <v>347</v>
      </c>
      <c r="G99" s="7" t="str">
        <f aca="false">HYPERLINK(CONCATENATE("http://crfop.gdos.gov.pl/CRFOP/widok/viewrezerwatprzyrody.jsf?fop=","PL.ZIPOP.1393.RP.574"),"(kliknij lub Ctrl+kliknij)")</f>
        <v>(kliknij lub Ctrl+kliknij)</v>
      </c>
    </row>
    <row r="100" customFormat="false" ht="12.8" hidden="false" customHeight="false" outlineLevel="0" collapsed="false">
      <c r="A100" s="1" t="s">
        <v>133</v>
      </c>
      <c r="B100" s="2" t="s">
        <v>348</v>
      </c>
      <c r="C100" s="3" t="s">
        <v>340</v>
      </c>
      <c r="D100" s="4" t="s">
        <v>349</v>
      </c>
      <c r="F100" s="6" t="s">
        <v>342</v>
      </c>
      <c r="G100" s="7" t="str">
        <f aca="false">HYPERLINK(CONCATENATE("http://crfop.gdos.gov.pl/CRFOP/widok/viewrezerwatprzyrody.jsf?fop=","PL.ZIPOP.1393.RP.1464"),"(kliknij lub Ctrl+kliknij)")</f>
        <v>(kliknij lub Ctrl+kliknij)</v>
      </c>
    </row>
    <row r="101" customFormat="false" ht="12.8" hidden="false" customHeight="false" outlineLevel="0" collapsed="false">
      <c r="A101" s="1" t="s">
        <v>133</v>
      </c>
      <c r="B101" s="2" t="s">
        <v>350</v>
      </c>
      <c r="C101" s="3" t="s">
        <v>351</v>
      </c>
      <c r="D101" s="4" t="s">
        <v>352</v>
      </c>
      <c r="F101" s="6" t="s">
        <v>353</v>
      </c>
      <c r="G101" s="7" t="str">
        <f aca="false">HYPERLINK(CONCATENATE("http://crfop.gdos.gov.pl/CRFOP/widok/viewrezerwatprzyrody.jsf?fop=","PL.ZIPOP.1393.RP.577"),"(kliknij lub Ctrl+kliknij)")</f>
        <v>(kliknij lub Ctrl+kliknij)</v>
      </c>
    </row>
    <row r="102" customFormat="false" ht="12.8" hidden="false" customHeight="false" outlineLevel="0" collapsed="false">
      <c r="A102" s="1" t="s">
        <v>133</v>
      </c>
      <c r="B102" s="2" t="s">
        <v>354</v>
      </c>
      <c r="C102" s="3" t="s">
        <v>355</v>
      </c>
      <c r="D102" s="4" t="s">
        <v>356</v>
      </c>
      <c r="F102" s="6" t="s">
        <v>357</v>
      </c>
      <c r="G102" s="7" t="str">
        <f aca="false">HYPERLINK(CONCATENATE("http://crfop.gdos.gov.pl/CRFOP/widok/viewrezerwatprzyrody.jsf?fop=","PL.ZIPOP.1393.RP.597"),"(kliknij lub Ctrl+kliknij)")</f>
        <v>(kliknij lub Ctrl+kliknij)</v>
      </c>
    </row>
    <row r="103" customFormat="false" ht="12.8" hidden="false" customHeight="false" outlineLevel="0" collapsed="false">
      <c r="A103" s="1" t="s">
        <v>133</v>
      </c>
      <c r="B103" s="2" t="s">
        <v>358</v>
      </c>
      <c r="C103" s="3" t="s">
        <v>359</v>
      </c>
      <c r="D103" s="4" t="s">
        <v>360</v>
      </c>
      <c r="F103" s="6" t="s">
        <v>361</v>
      </c>
      <c r="G103" s="7" t="str">
        <f aca="false">HYPERLINK(CONCATENATE("http://crfop.gdos.gov.pl/CRFOP/widok/viewrezerwatprzyrody.jsf?fop=","PL.ZIPOP.1393.RP.615"),"(kliknij lub Ctrl+kliknij)")</f>
        <v>(kliknij lub Ctrl+kliknij)</v>
      </c>
    </row>
    <row r="104" customFormat="false" ht="12.8" hidden="false" customHeight="false" outlineLevel="0" collapsed="false">
      <c r="A104" s="1" t="s">
        <v>133</v>
      </c>
      <c r="B104" s="2" t="s">
        <v>362</v>
      </c>
      <c r="C104" s="3" t="s">
        <v>363</v>
      </c>
      <c r="D104" s="4" t="s">
        <v>364</v>
      </c>
      <c r="F104" s="6" t="s">
        <v>365</v>
      </c>
      <c r="G104" s="7" t="str">
        <f aca="false">HYPERLINK(CONCATENATE("http://crfop.gdos.gov.pl/CRFOP/widok/viewrezerwatprzyrody.jsf?fop=","PL.ZIPOP.1393.RP.641"),"(kliknij lub Ctrl+kliknij)")</f>
        <v>(kliknij lub Ctrl+kliknij)</v>
      </c>
    </row>
    <row r="105" customFormat="false" ht="12.8" hidden="false" customHeight="false" outlineLevel="0" collapsed="false">
      <c r="A105" s="1" t="s">
        <v>133</v>
      </c>
      <c r="B105" s="2" t="s">
        <v>366</v>
      </c>
      <c r="C105" s="3" t="s">
        <v>363</v>
      </c>
      <c r="D105" s="4" t="s">
        <v>367</v>
      </c>
      <c r="F105" s="6" t="s">
        <v>365</v>
      </c>
      <c r="G105" s="7" t="str">
        <f aca="false">HYPERLINK(CONCATENATE("http://crfop.gdos.gov.pl/CRFOP/widok/viewrezerwatprzyrody.jsf?fop=","PL.ZIPOP.1393.RP.642"),"(kliknij lub Ctrl+kliknij)")</f>
        <v>(kliknij lub Ctrl+kliknij)</v>
      </c>
    </row>
    <row r="106" customFormat="false" ht="12.8" hidden="false" customHeight="false" outlineLevel="0" collapsed="false">
      <c r="A106" s="1" t="s">
        <v>133</v>
      </c>
      <c r="B106" s="2" t="s">
        <v>368</v>
      </c>
      <c r="C106" s="3" t="s">
        <v>369</v>
      </c>
      <c r="D106" s="4" t="s">
        <v>370</v>
      </c>
      <c r="F106" s="6" t="s">
        <v>371</v>
      </c>
      <c r="G106" s="7" t="str">
        <f aca="false">HYPERLINK(CONCATENATE("http://crfop.gdos.gov.pl/CRFOP/widok/viewrezerwatprzyrody.jsf?fop=","PL.ZIPOP.1393.RP.647"),"(kliknij lub Ctrl+kliknij)")</f>
        <v>(kliknij lub Ctrl+kliknij)</v>
      </c>
    </row>
    <row r="107" customFormat="false" ht="12.8" hidden="false" customHeight="false" outlineLevel="0" collapsed="false">
      <c r="A107" s="1" t="s">
        <v>133</v>
      </c>
      <c r="B107" s="2" t="s">
        <v>372</v>
      </c>
      <c r="C107" s="3" t="s">
        <v>369</v>
      </c>
      <c r="D107" s="4" t="s">
        <v>373</v>
      </c>
      <c r="F107" s="6" t="s">
        <v>365</v>
      </c>
      <c r="G107" s="7" t="str">
        <f aca="false">HYPERLINK(CONCATENATE("http://crfop.gdos.gov.pl/CRFOP/widok/viewrezerwatprzyrody.jsf?fop=","PL.ZIPOP.1393.RP.648"),"(kliknij lub Ctrl+kliknij)")</f>
        <v>(kliknij lub Ctrl+kliknij)</v>
      </c>
    </row>
    <row r="108" customFormat="false" ht="12.8" hidden="false" customHeight="false" outlineLevel="0" collapsed="false">
      <c r="A108" s="1" t="s">
        <v>133</v>
      </c>
      <c r="B108" s="2" t="s">
        <v>374</v>
      </c>
      <c r="C108" s="3" t="s">
        <v>375</v>
      </c>
      <c r="D108" s="4" t="s">
        <v>376</v>
      </c>
      <c r="E108" s="5" t="s">
        <v>377</v>
      </c>
      <c r="F108" s="6" t="s">
        <v>378</v>
      </c>
      <c r="G108" s="7" t="str">
        <f aca="false">HYPERLINK(CONCATENATE("http://crfop.gdos.gov.pl/CRFOP/widok/viewrezerwatprzyrody.jsf?fop=","PL.ZIPOP.1393.RP.661"),"(kliknij lub Ctrl+kliknij)")</f>
        <v>(kliknij lub Ctrl+kliknij)</v>
      </c>
    </row>
    <row r="109" customFormat="false" ht="12.8" hidden="false" customHeight="false" outlineLevel="0" collapsed="false">
      <c r="A109" s="1" t="s">
        <v>133</v>
      </c>
      <c r="B109" s="2" t="s">
        <v>379</v>
      </c>
      <c r="C109" s="3" t="s">
        <v>380</v>
      </c>
      <c r="D109" s="4" t="s">
        <v>381</v>
      </c>
      <c r="F109" s="6" t="s">
        <v>382</v>
      </c>
      <c r="G109" s="7" t="str">
        <f aca="false">HYPERLINK(CONCATENATE("http://crfop.gdos.gov.pl/CRFOP/widok/viewrezerwatprzyrody.jsf?fop=","PL.ZIPOP.1393.RP.663"),"(kliknij lub Ctrl+kliknij)")</f>
        <v>(kliknij lub Ctrl+kliknij)</v>
      </c>
    </row>
    <row r="110" customFormat="false" ht="12.8" hidden="false" customHeight="false" outlineLevel="0" collapsed="false">
      <c r="A110" s="1" t="s">
        <v>133</v>
      </c>
      <c r="B110" s="2" t="s">
        <v>383</v>
      </c>
      <c r="C110" s="3" t="s">
        <v>380</v>
      </c>
      <c r="D110" s="4" t="s">
        <v>384</v>
      </c>
      <c r="F110" s="6" t="s">
        <v>382</v>
      </c>
      <c r="G110" s="7" t="str">
        <f aca="false">HYPERLINK(CONCATENATE("http://crfop.gdos.gov.pl/CRFOP/widok/viewrezerwatprzyrody.jsf?fop=","PL.ZIPOP.1393.RP.672"),"(kliknij lub Ctrl+kliknij)")</f>
        <v>(kliknij lub Ctrl+kliknij)</v>
      </c>
    </row>
    <row r="111" customFormat="false" ht="12.8" hidden="false" customHeight="false" outlineLevel="0" collapsed="false">
      <c r="A111" s="1" t="s">
        <v>133</v>
      </c>
      <c r="B111" s="2" t="s">
        <v>385</v>
      </c>
      <c r="C111" s="3" t="s">
        <v>380</v>
      </c>
      <c r="D111" s="4" t="s">
        <v>386</v>
      </c>
      <c r="F111" s="6" t="s">
        <v>382</v>
      </c>
      <c r="G111" s="7" t="str">
        <f aca="false">HYPERLINK(CONCATENATE("http://crfop.gdos.gov.pl/CRFOP/widok/viewrezerwatprzyrody.jsf?fop=","PL.ZIPOP.1393.RP.673"),"(kliknij lub Ctrl+kliknij)")</f>
        <v>(kliknij lub Ctrl+kliknij)</v>
      </c>
    </row>
    <row r="112" customFormat="false" ht="12.8" hidden="false" customHeight="false" outlineLevel="0" collapsed="false">
      <c r="A112" s="1" t="s">
        <v>133</v>
      </c>
      <c r="B112" s="2" t="s">
        <v>387</v>
      </c>
      <c r="C112" s="3" t="s">
        <v>388</v>
      </c>
      <c r="D112" s="4" t="s">
        <v>389</v>
      </c>
      <c r="F112" s="6" t="s">
        <v>390</v>
      </c>
      <c r="G112" s="7" t="str">
        <f aca="false">HYPERLINK(CONCATENATE("http://crfop.gdos.gov.pl/CRFOP/widok/viewrezerwatprzyrody.jsf?fop=","PL.ZIPOP.1393.RP.684"),"(kliknij lub Ctrl+kliknij)")</f>
        <v>(kliknij lub Ctrl+kliknij)</v>
      </c>
    </row>
    <row r="113" customFormat="false" ht="12.8" hidden="false" customHeight="false" outlineLevel="0" collapsed="false">
      <c r="A113" s="1" t="s">
        <v>133</v>
      </c>
      <c r="B113" s="2" t="s">
        <v>391</v>
      </c>
      <c r="C113" s="3" t="s">
        <v>392</v>
      </c>
      <c r="D113" s="4" t="s">
        <v>393</v>
      </c>
      <c r="F113" s="6" t="s">
        <v>394</v>
      </c>
      <c r="G113" s="7" t="str">
        <f aca="false">HYPERLINK(CONCATENATE("http://crfop.gdos.gov.pl/CRFOP/widok/viewrezerwatprzyrody.jsf?fop=","PL.ZIPOP.1393.RP.692"),"(kliknij lub Ctrl+kliknij)")</f>
        <v>(kliknij lub Ctrl+kliknij)</v>
      </c>
    </row>
    <row r="114" customFormat="false" ht="12.8" hidden="false" customHeight="false" outlineLevel="0" collapsed="false">
      <c r="A114" s="1" t="s">
        <v>133</v>
      </c>
      <c r="B114" s="2" t="s">
        <v>395</v>
      </c>
      <c r="C114" s="3" t="s">
        <v>396</v>
      </c>
      <c r="D114" s="4" t="s">
        <v>397</v>
      </c>
      <c r="F114" s="6" t="s">
        <v>394</v>
      </c>
      <c r="G114" s="7" t="str">
        <f aca="false">HYPERLINK(CONCATENATE("http://crfop.gdos.gov.pl/CRFOP/widok/viewrezerwatprzyrody.jsf?fop=","PL.ZIPOP.1393.RP.705"),"(kliknij lub Ctrl+kliknij)")</f>
        <v>(kliknij lub Ctrl+kliknij)</v>
      </c>
    </row>
    <row r="115" customFormat="false" ht="12.8" hidden="false" customHeight="false" outlineLevel="0" collapsed="false">
      <c r="A115" s="1" t="s">
        <v>133</v>
      </c>
      <c r="B115" s="2" t="s">
        <v>398</v>
      </c>
      <c r="C115" s="3" t="s">
        <v>399</v>
      </c>
      <c r="D115" s="4" t="s">
        <v>400</v>
      </c>
      <c r="F115" s="6" t="s">
        <v>401</v>
      </c>
      <c r="G115" s="7" t="str">
        <f aca="false">HYPERLINK(CONCATENATE("http://crfop.gdos.gov.pl/CRFOP/widok/viewrezerwatprzyrody.jsf?fop=","PL.ZIPOP.1393.RP.710"),"(kliknij lub Ctrl+kliknij)")</f>
        <v>(kliknij lub Ctrl+kliknij)</v>
      </c>
    </row>
    <row r="116" customFormat="false" ht="12.8" hidden="false" customHeight="false" outlineLevel="0" collapsed="false">
      <c r="A116" s="1" t="s">
        <v>133</v>
      </c>
      <c r="B116" s="2" t="s">
        <v>402</v>
      </c>
      <c r="C116" s="3" t="s">
        <v>399</v>
      </c>
      <c r="D116" s="4" t="s">
        <v>403</v>
      </c>
      <c r="F116" s="6" t="s">
        <v>404</v>
      </c>
      <c r="G116" s="7" t="str">
        <f aca="false">HYPERLINK(CONCATENATE("http://crfop.gdos.gov.pl/CRFOP/widok/viewrezerwatprzyrody.jsf?fop=","PL.ZIPOP.1393.RP.711"),"(kliknij lub Ctrl+kliknij)")</f>
        <v>(kliknij lub Ctrl+kliknij)</v>
      </c>
    </row>
    <row r="117" customFormat="false" ht="114.25" hidden="false" customHeight="false" outlineLevel="0" collapsed="false">
      <c r="A117" s="1" t="s">
        <v>133</v>
      </c>
      <c r="B117" s="2" t="s">
        <v>405</v>
      </c>
      <c r="C117" s="3" t="s">
        <v>406</v>
      </c>
      <c r="D117" s="4" t="s">
        <v>407</v>
      </c>
      <c r="F117" s="10" t="s">
        <v>408</v>
      </c>
      <c r="G117" s="7" t="str">
        <f aca="false">HYPERLINK(CONCATENATE("http://crfop.gdos.gov.pl/CRFOP/widok/viewrezerwatprzyrody.jsf?fop=","PL.ZIPOP.1393.RP.712"),"(kliknij lub Ctrl+kliknij)")</f>
        <v>(kliknij lub Ctrl+kliknij)</v>
      </c>
    </row>
    <row r="118" customFormat="false" ht="12.8" hidden="false" customHeight="false" outlineLevel="0" collapsed="false">
      <c r="A118" s="1" t="s">
        <v>133</v>
      </c>
      <c r="B118" s="2" t="s">
        <v>409</v>
      </c>
      <c r="C118" s="3" t="s">
        <v>410</v>
      </c>
      <c r="D118" s="4" t="s">
        <v>411</v>
      </c>
      <c r="F118" s="6" t="s">
        <v>412</v>
      </c>
      <c r="G118" s="7" t="str">
        <f aca="false">HYPERLINK(CONCATENATE("http://crfop.gdos.gov.pl/CRFOP/widok/viewrezerwatprzyrody.jsf?fop=","PL.ZIPOP.1393.RP.739"),"(kliknij lub Ctrl+kliknij)")</f>
        <v>(kliknij lub Ctrl+kliknij)</v>
      </c>
    </row>
    <row r="119" customFormat="false" ht="12.8" hidden="false" customHeight="false" outlineLevel="0" collapsed="false">
      <c r="A119" s="1" t="s">
        <v>133</v>
      </c>
      <c r="B119" s="2" t="s">
        <v>413</v>
      </c>
      <c r="C119" s="3" t="s">
        <v>414</v>
      </c>
      <c r="D119" s="4" t="s">
        <v>415</v>
      </c>
      <c r="F119" s="6" t="s">
        <v>416</v>
      </c>
      <c r="G119" s="7" t="str">
        <f aca="false">HYPERLINK(CONCATENATE("http://crfop.gdos.gov.pl/CRFOP/widok/viewrezerwatprzyrody.jsf?fop=","PL.ZIPOP.1393.RP.740"),"(kliknij lub Ctrl+kliknij)")</f>
        <v>(kliknij lub Ctrl+kliknij)</v>
      </c>
    </row>
    <row r="120" customFormat="false" ht="12.8" hidden="false" customHeight="false" outlineLevel="0" collapsed="false">
      <c r="A120" s="1" t="s">
        <v>133</v>
      </c>
      <c r="B120" s="2" t="s">
        <v>417</v>
      </c>
      <c r="C120" s="3" t="s">
        <v>414</v>
      </c>
      <c r="D120" s="4" t="s">
        <v>418</v>
      </c>
      <c r="E120" s="5" t="s">
        <v>419</v>
      </c>
      <c r="F120" s="6" t="s">
        <v>420</v>
      </c>
      <c r="G120" s="7" t="str">
        <f aca="false">HYPERLINK(CONCATENATE("http://crfop.gdos.gov.pl/CRFOP/widok/viewrezerwatprzyrody.jsf?fop=","PL.ZIPOP.1393.RP.741"),"(kliknij lub Ctrl+kliknij)")</f>
        <v>(kliknij lub Ctrl+kliknij)</v>
      </c>
    </row>
    <row r="121" customFormat="false" ht="12.8" hidden="false" customHeight="false" outlineLevel="0" collapsed="false">
      <c r="A121" s="1" t="s">
        <v>133</v>
      </c>
      <c r="B121" s="2" t="s">
        <v>421</v>
      </c>
      <c r="C121" s="3" t="s">
        <v>399</v>
      </c>
      <c r="D121" s="4" t="s">
        <v>422</v>
      </c>
      <c r="F121" s="6" t="s">
        <v>423</v>
      </c>
      <c r="G121" s="7" t="str">
        <f aca="false">HYPERLINK(CONCATENATE("http://crfop.gdos.gov.pl/CRFOP/widok/viewrezerwatprzyrody.jsf?fop=","PL.ZIPOP.1393.RP.752"),"(kliknij lub Ctrl+kliknij)")</f>
        <v>(kliknij lub Ctrl+kliknij)</v>
      </c>
    </row>
    <row r="122" customFormat="false" ht="12.8" hidden="false" customHeight="false" outlineLevel="0" collapsed="false">
      <c r="A122" s="1" t="s">
        <v>133</v>
      </c>
      <c r="B122" s="2" t="s">
        <v>424</v>
      </c>
      <c r="C122" s="3" t="s">
        <v>135</v>
      </c>
      <c r="D122" s="4" t="s">
        <v>425</v>
      </c>
      <c r="F122" s="6" t="s">
        <v>137</v>
      </c>
      <c r="G122" s="7" t="str">
        <f aca="false">HYPERLINK(CONCATENATE("http://crfop.gdos.gov.pl/CRFOP/widok/viewrezerwatprzyrody.jsf?fop=","PL.ZIPOP.1393.RP.1359"),"(kliknij lub Ctrl+kliknij)")</f>
        <v>(kliknij lub Ctrl+kliknij)</v>
      </c>
    </row>
    <row r="123" customFormat="false" ht="12.8" hidden="false" customHeight="false" outlineLevel="0" collapsed="false">
      <c r="A123" s="1" t="s">
        <v>133</v>
      </c>
      <c r="B123" s="2" t="s">
        <v>426</v>
      </c>
      <c r="C123" s="3" t="s">
        <v>427</v>
      </c>
      <c r="D123" s="4" t="s">
        <v>428</v>
      </c>
      <c r="F123" s="6" t="s">
        <v>429</v>
      </c>
      <c r="G123" s="7" t="str">
        <f aca="false">HYPERLINK(CONCATENATE("http://crfop.gdos.gov.pl/CRFOP/widok/viewrezerwatprzyrody.jsf?fop=","PL.ZIPOP.1393.RP.1438"),"(kliknij lub Ctrl+kliknij)")</f>
        <v>(kliknij lub Ctrl+kliknij)</v>
      </c>
    </row>
    <row r="124" customFormat="false" ht="12.8" hidden="false" customHeight="false" outlineLevel="0" collapsed="false">
      <c r="A124" s="1" t="s">
        <v>430</v>
      </c>
      <c r="B124" s="2" t="s">
        <v>431</v>
      </c>
      <c r="C124" s="3" t="s">
        <v>432</v>
      </c>
      <c r="D124" s="4" t="s">
        <v>433</v>
      </c>
      <c r="F124" s="6" t="s">
        <v>434</v>
      </c>
      <c r="G124" s="7" t="str">
        <f aca="false">HYPERLINK(CONCATENATE("http://crfop.gdos.gov.pl/CRFOP/widok/viewstanowiskodokumentacyjne.jsf?fop=","PL.ZIPOP.1393.SD.31"),"(kliknij lub Ctrl+kliknij)")</f>
        <v>(kliknij lub Ctrl+kliknij)</v>
      </c>
    </row>
    <row r="125" customFormat="false" ht="136.9" hidden="false" customHeight="false" outlineLevel="0" collapsed="false">
      <c r="A125" s="1" t="s">
        <v>430</v>
      </c>
      <c r="B125" s="2" t="s">
        <v>435</v>
      </c>
      <c r="C125" s="3" t="s">
        <v>436</v>
      </c>
      <c r="D125" s="4" t="s">
        <v>437</v>
      </c>
      <c r="F125" s="10" t="s">
        <v>438</v>
      </c>
      <c r="G125" s="7" t="str">
        <f aca="false">HYPERLINK(CONCATENATE("http://crfop.gdos.gov.pl/CRFOP/widok/viewstanowiskodokumentacyjne.jsf?fop=","PL.ZIPOP.1393.SD.211"),"(kliknij lub Ctrl+kliknij)")</f>
        <v>(kliknij lub Ctrl+kliknij)</v>
      </c>
    </row>
    <row r="126" customFormat="false" ht="125.55" hidden="false" customHeight="false" outlineLevel="0" collapsed="false">
      <c r="A126" s="1" t="s">
        <v>430</v>
      </c>
      <c r="B126" s="2" t="s">
        <v>439</v>
      </c>
      <c r="C126" s="3" t="s">
        <v>440</v>
      </c>
      <c r="D126" s="4" t="s">
        <v>441</v>
      </c>
      <c r="F126" s="10" t="s">
        <v>442</v>
      </c>
      <c r="G126" s="7" t="str">
        <f aca="false">HYPERLINK(CONCATENATE("http://crfop.gdos.gov.pl/CRFOP/widok/viewstanowiskodokumentacyjne.jsf?fop=","PL.ZIPOP.1393.SD.212"),"(kliknij lub Ctrl+kliknij)")</f>
        <v>(kliknij lub Ctrl+kliknij)</v>
      </c>
    </row>
    <row r="127" customFormat="false" ht="12.8" hidden="false" customHeight="false" outlineLevel="0" collapsed="false">
      <c r="A127" s="1" t="s">
        <v>430</v>
      </c>
      <c r="B127" s="2" t="s">
        <v>443</v>
      </c>
      <c r="C127" s="3" t="s">
        <v>30</v>
      </c>
      <c r="D127" s="4" t="s">
        <v>444</v>
      </c>
      <c r="F127" s="6" t="s">
        <v>445</v>
      </c>
      <c r="G127" s="7" t="str">
        <f aca="false">HYPERLINK(CONCATENATE("http://crfop.gdos.gov.pl/CRFOP/widok/viewstanowiskodokumentacyjne.jsf?fop=","PL.ZIPOP.1393.SD.213"),"(kliknij lub Ctrl+kliknij)")</f>
        <v>(kliknij lub Ctrl+kliknij)</v>
      </c>
    </row>
    <row r="128" customFormat="false" ht="12.8" hidden="false" customHeight="false" outlineLevel="0" collapsed="false">
      <c r="A128" s="1" t="s">
        <v>446</v>
      </c>
      <c r="C128" s="3" t="s">
        <v>447</v>
      </c>
      <c r="D128" s="4" t="s">
        <v>448</v>
      </c>
      <c r="F128" s="6" t="s">
        <v>449</v>
      </c>
      <c r="G128" s="7" t="str">
        <f aca="false">HYPERLINK(CONCATENATE("http://crfop.gdos.gov.pl/CRFOP/widok/viewzespolprzyrodniczokrajobrazowy.jsf?fop=","PL.ZIPOP.1393.ZPK.81"),"(kliknij lub Ctrl+kliknij)")</f>
        <v>(kliknij lub Ctrl+kliknij)</v>
      </c>
    </row>
    <row r="129" customFormat="false" ht="12.8" hidden="false" customHeight="false" outlineLevel="0" collapsed="false">
      <c r="A129" s="1" t="s">
        <v>446</v>
      </c>
      <c r="B129" s="2" t="s">
        <v>450</v>
      </c>
      <c r="C129" s="3" t="s">
        <v>451</v>
      </c>
      <c r="D129" s="4" t="s">
        <v>452</v>
      </c>
      <c r="F129" s="6" t="s">
        <v>453</v>
      </c>
      <c r="G129" s="7" t="str">
        <f aca="false">HYPERLINK(CONCATENATE("http://crfop.gdos.gov.pl/CRFOP/widok/viewzespolprzyrodniczokrajobrazowy.jsf?fop=","PL.ZIPOP.1393.ZPK.54"),"(kliknij lub Ctrl+kliknij)")</f>
        <v>(kliknij lub Ctrl+kliknij)</v>
      </c>
    </row>
    <row r="130" customFormat="false" ht="12.8" hidden="false" customHeight="false" outlineLevel="0" collapsed="false">
      <c r="A130" s="1" t="s">
        <v>446</v>
      </c>
      <c r="B130" s="2" t="s">
        <v>454</v>
      </c>
      <c r="C130" s="3" t="s">
        <v>451</v>
      </c>
      <c r="D130" s="4" t="s">
        <v>455</v>
      </c>
      <c r="F130" s="6" t="s">
        <v>456</v>
      </c>
      <c r="G130" s="7" t="str">
        <f aca="false">HYPERLINK(CONCATENATE("http://crfop.gdos.gov.pl/CRFOP/widok/viewzespolprzyrodniczokrajobrazowy.jsf?fop=","PL.ZIPOP.1393.ZPK.53"),"(kliknij lub Ctrl+kliknij)")</f>
        <v>(kliknij lub Ctrl+kliknij)</v>
      </c>
    </row>
    <row r="131" customFormat="false" ht="12.8" hidden="false" customHeight="false" outlineLevel="0" collapsed="false">
      <c r="A131" s="1" t="s">
        <v>446</v>
      </c>
      <c r="B131" s="2" t="s">
        <v>457</v>
      </c>
      <c r="C131" s="3" t="s">
        <v>451</v>
      </c>
      <c r="D131" s="4" t="s">
        <v>458</v>
      </c>
      <c r="F131" s="6" t="s">
        <v>459</v>
      </c>
      <c r="G131" s="7" t="str">
        <f aca="false">HYPERLINK(CONCATENATE("http://crfop.gdos.gov.pl/CRFOP/widok/viewzespolprzyrodniczokrajobrazowy.jsf?fop=","PL.ZIPOP.1393.ZPK.52"),"(kliknij lub Ctrl+kliknij)")</f>
        <v>(kliknij lub Ctrl+kliknij)</v>
      </c>
    </row>
    <row r="132" customFormat="false" ht="12.8" hidden="false" customHeight="false" outlineLevel="0" collapsed="false">
      <c r="A132" s="1" t="s">
        <v>446</v>
      </c>
      <c r="B132" s="2" t="s">
        <v>460</v>
      </c>
      <c r="C132" s="3" t="s">
        <v>461</v>
      </c>
      <c r="D132" s="4" t="s">
        <v>462</v>
      </c>
      <c r="F132" s="6" t="s">
        <v>463</v>
      </c>
      <c r="G132" s="7" t="str">
        <f aca="false">HYPERLINK(CONCATENATE("http://crfop.gdos.gov.pl/CRFOP/widok/viewzespolprzyrodniczokrajobrazowy.jsf?fop=","PL.ZIPOP.1393.ZPK.58"),"(kliknij lub Ctrl+kliknij)")</f>
        <v>(kliknij lub Ctrl+kliknij)</v>
      </c>
    </row>
    <row r="133" customFormat="false" ht="12.8" hidden="false" customHeight="false" outlineLevel="0" collapsed="false">
      <c r="A133" s="1" t="s">
        <v>446</v>
      </c>
      <c r="B133" s="2" t="s">
        <v>464</v>
      </c>
      <c r="C133" s="3" t="s">
        <v>451</v>
      </c>
      <c r="D133" s="4" t="s">
        <v>465</v>
      </c>
      <c r="F133" s="6" t="s">
        <v>32</v>
      </c>
      <c r="G133" s="7" t="str">
        <f aca="false">HYPERLINK(CONCATENATE("http://crfop.gdos.gov.pl/CRFOP/widok/viewzespolprzyrodniczokrajobrazowy.jsf?fop=","PL.ZIPOP.1393.ZPK.51"),"(kliknij lub Ctrl+kliknij)")</f>
        <v>(kliknij lub Ctrl+kliknij)</v>
      </c>
    </row>
    <row r="134" customFormat="false" ht="12.8" hidden="false" customHeight="false" outlineLevel="0" collapsed="false">
      <c r="A134" s="1" t="s">
        <v>446</v>
      </c>
      <c r="B134" s="2" t="s">
        <v>466</v>
      </c>
      <c r="C134" s="3" t="s">
        <v>467</v>
      </c>
      <c r="D134" s="4" t="s">
        <v>468</v>
      </c>
      <c r="F134" s="6" t="s">
        <v>469</v>
      </c>
      <c r="G134" s="7" t="str">
        <f aca="false">HYPERLINK(CONCATENATE("http://crfop.gdos.gov.pl/CRFOP/widok/viewzespolprzyrodniczokrajobrazowy.jsf?fop=","PL.ZIPOP.1393.ZPK.85"),"(kliknij lub Ctrl+kliknij)")</f>
        <v>(kliknij lub Ctrl+kliknij)</v>
      </c>
    </row>
    <row r="135" customFormat="false" ht="102.95" hidden="false" customHeight="false" outlineLevel="0" collapsed="false">
      <c r="A135" s="1" t="s">
        <v>446</v>
      </c>
      <c r="B135" s="2" t="s">
        <v>470</v>
      </c>
      <c r="C135" s="3" t="s">
        <v>471</v>
      </c>
      <c r="D135" s="4" t="s">
        <v>472</v>
      </c>
      <c r="F135" s="10" t="s">
        <v>473</v>
      </c>
      <c r="G135" s="7" t="str">
        <f aca="false">HYPERLINK(CONCATENATE("http://crfop.gdos.gov.pl/CRFOP/widok/viewzespolprzyrodniczokrajobrazowy.jsf?fop=","PL.ZIPOP.1393.ZPK.49"),"(kliknij lub Ctrl+kliknij)")</f>
        <v>(kliknij lub Ctrl+kliknij)</v>
      </c>
    </row>
    <row r="136" customFormat="false" ht="102.95" hidden="false" customHeight="false" outlineLevel="0" collapsed="false">
      <c r="A136" s="1" t="s">
        <v>446</v>
      </c>
      <c r="B136" s="2" t="s">
        <v>474</v>
      </c>
      <c r="C136" s="3" t="s">
        <v>471</v>
      </c>
      <c r="D136" s="4" t="s">
        <v>475</v>
      </c>
      <c r="F136" s="10" t="s">
        <v>476</v>
      </c>
      <c r="G136" s="7" t="str">
        <f aca="false">HYPERLINK(CONCATENATE("http://crfop.gdos.gov.pl/CRFOP/widok/viewzespolprzyrodniczokrajobrazowy.jsf?fop=","PL.ZIPOP.1393.ZPK.47"),"(kliknij lub Ctrl+kliknij)")</f>
        <v>(kliknij lub Ctrl+kliknij)</v>
      </c>
    </row>
    <row r="137" customFormat="false" ht="102.95" hidden="false" customHeight="false" outlineLevel="0" collapsed="false">
      <c r="A137" s="1" t="s">
        <v>446</v>
      </c>
      <c r="B137" s="2" t="s">
        <v>477</v>
      </c>
      <c r="C137" s="3" t="s">
        <v>471</v>
      </c>
      <c r="D137" s="4" t="s">
        <v>478</v>
      </c>
      <c r="F137" s="10" t="s">
        <v>476</v>
      </c>
      <c r="G137" s="7" t="str">
        <f aca="false">HYPERLINK(CONCATENATE("http://crfop.gdos.gov.pl/CRFOP/widok/viewzespolprzyrodniczokrajobrazowy.jsf?fop=","PL.ZIPOP.1393.ZPK.48"),"(kliknij lub Ctrl+kliknij)")</f>
        <v>(kliknij lub Ctrl+kliknij)</v>
      </c>
    </row>
    <row r="138" customFormat="false" ht="102.95" hidden="false" customHeight="false" outlineLevel="0" collapsed="false">
      <c r="A138" s="1" t="s">
        <v>446</v>
      </c>
      <c r="B138" s="2" t="s">
        <v>479</v>
      </c>
      <c r="C138" s="3" t="s">
        <v>471</v>
      </c>
      <c r="D138" s="4" t="s">
        <v>480</v>
      </c>
      <c r="F138" s="10" t="s">
        <v>476</v>
      </c>
      <c r="G138" s="7" t="str">
        <f aca="false">HYPERLINK(CONCATENATE("http://crfop.gdos.gov.pl/CRFOP/widok/viewzespolprzyrodniczokrajobrazowy.jsf?fop=","PL.ZIPOP.1393.ZPK.50"),"(kliknij lub Ctrl+kliknij)")</f>
        <v>(kliknij lub Ctrl+kliknij)</v>
      </c>
    </row>
    <row r="139" customFormat="false" ht="12.8" hidden="false" customHeight="false" outlineLevel="0" collapsed="false">
      <c r="A139" s="1" t="s">
        <v>446</v>
      </c>
      <c r="B139" s="2" t="s">
        <v>481</v>
      </c>
      <c r="C139" s="3" t="s">
        <v>30</v>
      </c>
      <c r="D139" s="4" t="s">
        <v>482</v>
      </c>
      <c r="F139" s="6" t="s">
        <v>483</v>
      </c>
      <c r="G139" s="7" t="str">
        <f aca="false">HYPERLINK(CONCATENATE("http://crfop.gdos.gov.pl/CRFOP/widok/viewzespolprzyrodniczokrajobrazowy.jsf?fop=","PL.ZIPOP.1393.ZPK.68"),"(kliknij lub Ctrl+kliknij)")</f>
        <v>(kliknij lub Ctrl+kliknij)</v>
      </c>
    </row>
    <row r="140" customFormat="false" ht="12.8" hidden="false" customHeight="false" outlineLevel="0" collapsed="false">
      <c r="A140" s="1" t="s">
        <v>446</v>
      </c>
      <c r="B140" s="2" t="s">
        <v>484</v>
      </c>
      <c r="C140" s="3" t="s">
        <v>70</v>
      </c>
      <c r="D140" s="4" t="s">
        <v>485</v>
      </c>
      <c r="F140" s="6" t="s">
        <v>486</v>
      </c>
      <c r="G140" s="7" t="str">
        <f aca="false">HYPERLINK(CONCATENATE("http://crfop.gdos.gov.pl/CRFOP/widok/viewzespolprzyrodniczokrajobrazowy.jsf?fop=","PL.ZIPOP.1393.ZPK.55"),"(kliknij lub Ctrl+kliknij)")</f>
        <v>(kliknij lub Ctrl+kliknij)</v>
      </c>
    </row>
    <row r="141" customFormat="false" ht="12.8" hidden="false" customHeight="false" outlineLevel="0" collapsed="false">
      <c r="A141" s="1" t="s">
        <v>446</v>
      </c>
      <c r="B141" s="2" t="s">
        <v>487</v>
      </c>
      <c r="C141" s="3" t="s">
        <v>30</v>
      </c>
      <c r="D141" s="4" t="s">
        <v>488</v>
      </c>
      <c r="F141" s="6" t="s">
        <v>489</v>
      </c>
      <c r="G141" s="7" t="str">
        <f aca="false">HYPERLINK(CONCATENATE("http://crfop.gdos.gov.pl/CRFOP/widok/viewzespolprzyrodniczokrajobrazowy.jsf?fop=","PL.ZIPOP.1393.ZPK.57"),"(kliknij lub Ctrl+kliknij)")</f>
        <v>(kliknij lub Ctrl+kliknij)</v>
      </c>
    </row>
    <row r="142" customFormat="false" ht="12.8" hidden="false" customHeight="false" outlineLevel="0" collapsed="false">
      <c r="A142" s="1" t="s">
        <v>446</v>
      </c>
      <c r="B142" s="2" t="s">
        <v>490</v>
      </c>
      <c r="C142" s="3" t="s">
        <v>30</v>
      </c>
      <c r="D142" s="4" t="s">
        <v>491</v>
      </c>
      <c r="F142" s="6" t="s">
        <v>492</v>
      </c>
      <c r="G142" s="7" t="str">
        <f aca="false">HYPERLINK(CONCATENATE("http://crfop.gdos.gov.pl/CRFOP/widok/viewzespolprzyrodniczokrajobrazowy.jsf?fop=","PL.ZIPOP.1393.ZPK.80"),"(kliknij lub Ctrl+kliknij)")</f>
        <v>(kliknij lub Ctrl+kliknij)</v>
      </c>
    </row>
    <row r="143" customFormat="false" ht="12.8" hidden="false" customHeight="false" outlineLevel="0" collapsed="false">
      <c r="A143" s="1" t="s">
        <v>446</v>
      </c>
      <c r="B143" s="2" t="s">
        <v>493</v>
      </c>
      <c r="C143" s="3" t="s">
        <v>494</v>
      </c>
      <c r="D143" s="4" t="s">
        <v>495</v>
      </c>
      <c r="F143" s="6" t="s">
        <v>496</v>
      </c>
      <c r="G143" s="7" t="str">
        <f aca="false">HYPERLINK(CONCATENATE("http://crfop.gdos.gov.pl/CRFOP/widok/viewzespolprzyrodniczokrajobrazowy.jsf?fop=","PL.ZIPOP.1393.ZPK.79"),"(kliknij lub Ctrl+kliknij)")</f>
        <v>(kliknij lub Ctrl+kliknij)</v>
      </c>
    </row>
    <row r="144" customFormat="false" ht="12.8" hidden="false" customHeight="false" outlineLevel="0" collapsed="false">
      <c r="A144" s="1" t="s">
        <v>446</v>
      </c>
      <c r="B144" s="2" t="s">
        <v>497</v>
      </c>
      <c r="C144" s="3" t="s">
        <v>498</v>
      </c>
      <c r="D144" s="4" t="s">
        <v>499</v>
      </c>
      <c r="F144" s="6" t="s">
        <v>500</v>
      </c>
      <c r="G144" s="7" t="str">
        <f aca="false">HYPERLINK(CONCATENATE("http://crfop.gdos.gov.pl/CRFOP/widok/viewzespolprzyrodniczokrajobrazowy.jsf?fop=","PL.ZIPOP.1393.ZPK.70"),"(kliknij lub Ctrl+kliknij)")</f>
        <v>(kliknij lub Ctrl+kliknij)</v>
      </c>
    </row>
    <row r="145" customFormat="false" ht="12.8" hidden="false" customHeight="false" outlineLevel="0" collapsed="false">
      <c r="A145" s="1" t="s">
        <v>446</v>
      </c>
      <c r="B145" s="2" t="s">
        <v>501</v>
      </c>
      <c r="C145" s="3" t="s">
        <v>432</v>
      </c>
      <c r="D145" s="4" t="s">
        <v>502</v>
      </c>
      <c r="F145" s="6" t="s">
        <v>503</v>
      </c>
      <c r="G145" s="7" t="str">
        <f aca="false">HYPERLINK(CONCATENATE("http://crfop.gdos.gov.pl/CRFOP/widok/viewzespolprzyrodniczokrajobrazowy.jsf?fop=","PL.ZIPOP.1393.ZPK.60"),"(kliknij lub Ctrl+kliknij)")</f>
        <v>(kliknij lub Ctrl+kliknij)</v>
      </c>
    </row>
    <row r="146" customFormat="false" ht="12.8" hidden="false" customHeight="false" outlineLevel="0" collapsed="false">
      <c r="A146" s="1" t="s">
        <v>446</v>
      </c>
      <c r="B146" s="2" t="s">
        <v>504</v>
      </c>
      <c r="C146" s="3" t="s">
        <v>505</v>
      </c>
      <c r="D146" s="4" t="s">
        <v>506</v>
      </c>
      <c r="F146" s="6" t="s">
        <v>507</v>
      </c>
      <c r="G146" s="7" t="str">
        <f aca="false">HYPERLINK(CONCATENATE("http://crfop.gdos.gov.pl/CRFOP/widok/viewzespolprzyrodniczokrajobrazowy.jsf?fop=","PL.ZIPOP.1393.ZPK.71"),"(kliknij lub Ctrl+kliknij)")</f>
        <v>(kliknij lub Ctrl+kliknij)</v>
      </c>
    </row>
    <row r="147" customFormat="false" ht="12.8" hidden="false" customHeight="false" outlineLevel="0" collapsed="false">
      <c r="A147" s="1" t="s">
        <v>446</v>
      </c>
      <c r="B147" s="2" t="s">
        <v>508</v>
      </c>
      <c r="C147" s="3" t="s">
        <v>505</v>
      </c>
      <c r="D147" s="4" t="s">
        <v>509</v>
      </c>
      <c r="F147" s="6" t="s">
        <v>510</v>
      </c>
      <c r="G147" s="7" t="str">
        <f aca="false">HYPERLINK(CONCATENATE("http://crfop.gdos.gov.pl/CRFOP/widok/viewzespolprzyrodniczokrajobrazowy.jsf?fop=","PL.ZIPOP.1393.ZPK.56"),"(kliknij lub Ctrl+kliknij)")</f>
        <v>(kliknij lub Ctrl+kliknij)</v>
      </c>
    </row>
    <row r="148" customFormat="false" ht="12.8" hidden="false" customHeight="false" outlineLevel="0" collapsed="false">
      <c r="A148" s="1" t="s">
        <v>446</v>
      </c>
      <c r="B148" s="2" t="s">
        <v>511</v>
      </c>
      <c r="C148" s="3" t="s">
        <v>505</v>
      </c>
      <c r="D148" s="4" t="s">
        <v>512</v>
      </c>
      <c r="F148" s="6" t="s">
        <v>513</v>
      </c>
      <c r="G148" s="7" t="str">
        <f aca="false">HYPERLINK(CONCATENATE("http://crfop.gdos.gov.pl/CRFOP/widok/viewzespolprzyrodniczokrajobrazowy.jsf?fop=","PL.ZIPOP.1393.ZPK.61"),"(kliknij lub Ctrl+kliknij)")</f>
        <v>(kliknij lub Ctrl+kliknij)</v>
      </c>
    </row>
    <row r="149" customFormat="false" ht="12.8" hidden="false" customHeight="false" outlineLevel="0" collapsed="false">
      <c r="A149" s="1" t="s">
        <v>446</v>
      </c>
      <c r="B149" s="2" t="s">
        <v>514</v>
      </c>
      <c r="C149" s="3" t="s">
        <v>505</v>
      </c>
      <c r="D149" s="4" t="s">
        <v>515</v>
      </c>
      <c r="F149" s="6" t="s">
        <v>516</v>
      </c>
      <c r="G149" s="7" t="str">
        <f aca="false">HYPERLINK(CONCATENATE("http://crfop.gdos.gov.pl/CRFOP/widok/viewzespolprzyrodniczokrajobrazowy.jsf?fop=","PL.ZIPOP.1393.ZPK.77"),"(kliknij lub Ctrl+kliknij)")</f>
        <v>(kliknij lub Ctrl+kliknij)</v>
      </c>
    </row>
    <row r="150" customFormat="false" ht="12.8" hidden="false" customHeight="false" outlineLevel="0" collapsed="false">
      <c r="A150" s="1" t="s">
        <v>446</v>
      </c>
      <c r="B150" s="2" t="s">
        <v>517</v>
      </c>
      <c r="C150" s="3" t="s">
        <v>518</v>
      </c>
      <c r="D150" s="4" t="s">
        <v>519</v>
      </c>
      <c r="F150" s="6" t="s">
        <v>520</v>
      </c>
      <c r="G150" s="7" t="str">
        <f aca="false">HYPERLINK(CONCATENATE("http://crfop.gdos.gov.pl/CRFOP/widok/viewzespolprzyrodniczokrajobrazowy.jsf?fop=","PL.ZIPOP.1393.ZPK.69"),"(kliknij lub Ctrl+kliknij)")</f>
        <v>(kliknij lub Ctrl+kliknij)</v>
      </c>
    </row>
    <row r="151" customFormat="false" ht="12.8" hidden="false" customHeight="false" outlineLevel="0" collapsed="false">
      <c r="A151" s="1" t="s">
        <v>446</v>
      </c>
      <c r="B151" s="2" t="s">
        <v>521</v>
      </c>
      <c r="C151" s="3" t="s">
        <v>522</v>
      </c>
      <c r="D151" s="4" t="s">
        <v>523</v>
      </c>
      <c r="F151" s="6" t="s">
        <v>524</v>
      </c>
      <c r="G151" s="7" t="str">
        <f aca="false">HYPERLINK(CONCATENATE("http://crfop.gdos.gov.pl/CRFOP/widok/viewzespolprzyrodniczokrajobrazowy.jsf?fop=","PL.ZIPOP.1393.ZPK.59"),"(kliknij lub Ctrl+kliknij)")</f>
        <v>(kliknij lub Ctrl+kliknij)</v>
      </c>
    </row>
    <row r="152" customFormat="false" ht="102.95" hidden="false" customHeight="false" outlineLevel="0" collapsed="false">
      <c r="A152" s="1" t="s">
        <v>446</v>
      </c>
      <c r="B152" s="2" t="s">
        <v>525</v>
      </c>
      <c r="C152" s="3" t="s">
        <v>526</v>
      </c>
      <c r="D152" s="4" t="s">
        <v>527</v>
      </c>
      <c r="F152" s="10" t="s">
        <v>528</v>
      </c>
      <c r="G152" s="7" t="str">
        <f aca="false">HYPERLINK(CONCATENATE("http://crfop.gdos.gov.pl/CRFOP/widok/viewzespolprzyrodniczokrajobrazowy.jsf?fop=","PL.ZIPOP.1393.ZPK.63"),"(kliknij lub Ctrl+kliknij)")</f>
        <v>(kliknij lub Ctrl+kliknij)</v>
      </c>
    </row>
    <row r="153" customFormat="false" ht="91.65" hidden="false" customHeight="false" outlineLevel="0" collapsed="false">
      <c r="A153" s="1" t="s">
        <v>446</v>
      </c>
      <c r="B153" s="2" t="s">
        <v>529</v>
      </c>
      <c r="C153" s="3" t="s">
        <v>530</v>
      </c>
      <c r="D153" s="4" t="s">
        <v>531</v>
      </c>
      <c r="F153" s="10" t="s">
        <v>532</v>
      </c>
      <c r="G153" s="7" t="str">
        <f aca="false">HYPERLINK(CONCATENATE("http://crfop.gdos.gov.pl/CRFOP/widok/viewzespolprzyrodniczokrajobrazowy.jsf?fop=","PL.ZIPOP.1393.ZPK.64"),"(kliknij lub Ctrl+kliknij)")</f>
        <v>(kliknij lub Ctrl+kliknij)</v>
      </c>
    </row>
    <row r="154" customFormat="false" ht="114.25" hidden="false" customHeight="false" outlineLevel="0" collapsed="false">
      <c r="A154" s="1" t="s">
        <v>446</v>
      </c>
      <c r="B154" s="2" t="s">
        <v>533</v>
      </c>
      <c r="C154" s="3" t="s">
        <v>534</v>
      </c>
      <c r="F154" s="10" t="s">
        <v>535</v>
      </c>
      <c r="G154" s="7" t="str">
        <f aca="false">HYPERLINK(CONCATENATE("http://crfop.gdos.gov.pl/CRFOP/widok/viewzespolprzyrodniczokrajobrazowy.jsf?fop=","PL.ZIPOP.1393.ZPK.65"),"(kliknij lub Ctrl+kliknij)")</f>
        <v>(kliknij lub Ctrl+kliknij)</v>
      </c>
    </row>
    <row r="155" customFormat="false" ht="12.8" hidden="false" customHeight="false" outlineLevel="0" collapsed="false">
      <c r="A155" s="1" t="s">
        <v>446</v>
      </c>
      <c r="B155" s="2" t="s">
        <v>536</v>
      </c>
      <c r="C155" s="3" t="s">
        <v>537</v>
      </c>
      <c r="D155" s="4" t="s">
        <v>538</v>
      </c>
      <c r="F155" s="6" t="s">
        <v>539</v>
      </c>
      <c r="G155" s="7" t="str">
        <f aca="false">HYPERLINK(CONCATENATE("http://crfop.gdos.gov.pl/CRFOP/widok/viewzespolprzyrodniczokrajobrazowy.jsf?fop=","PL.ZIPOP.1393.ZPK.66"),"(kliknij lub Ctrl+kliknij)")</f>
        <v>(kliknij lub Ctrl+kliknij)</v>
      </c>
    </row>
    <row r="156" customFormat="false" ht="114.25" hidden="false" customHeight="false" outlineLevel="0" collapsed="false">
      <c r="A156" s="1" t="s">
        <v>446</v>
      </c>
      <c r="B156" s="2" t="s">
        <v>540</v>
      </c>
      <c r="C156" s="3" t="s">
        <v>534</v>
      </c>
      <c r="D156" s="4" t="s">
        <v>541</v>
      </c>
      <c r="F156" s="10" t="s">
        <v>542</v>
      </c>
      <c r="G156" s="7" t="str">
        <f aca="false">HYPERLINK(CONCATENATE("http://crfop.gdos.gov.pl/CRFOP/widok/viewzespolprzyrodniczokrajobrazowy.jsf?fop=","PL.ZIPOP.1393.ZPK.74"),"(kliknij lub Ctrl+kliknij)")</f>
        <v>(kliknij lub Ctrl+kliknij)</v>
      </c>
    </row>
    <row r="157" customFormat="false" ht="102.95" hidden="false" customHeight="false" outlineLevel="0" collapsed="false">
      <c r="A157" s="1" t="s">
        <v>446</v>
      </c>
      <c r="B157" s="2" t="s">
        <v>543</v>
      </c>
      <c r="C157" s="3" t="s">
        <v>544</v>
      </c>
      <c r="D157" s="4" t="s">
        <v>545</v>
      </c>
      <c r="F157" s="10" t="s">
        <v>546</v>
      </c>
      <c r="G157" s="7" t="str">
        <f aca="false">HYPERLINK(CONCATENATE("http://crfop.gdos.gov.pl/CRFOP/widok/viewzespolprzyrodniczokrajobrazowy.jsf?fop=","PL.ZIPOP.1393.ZPK.75"),"(kliknij lub Ctrl+kliknij)")</f>
        <v>(kliknij lub Ctrl+kliknij)</v>
      </c>
    </row>
    <row r="158" customFormat="false" ht="12.8" hidden="false" customHeight="false" outlineLevel="0" collapsed="false">
      <c r="A158" s="1" t="s">
        <v>446</v>
      </c>
      <c r="B158" s="2" t="s">
        <v>547</v>
      </c>
      <c r="C158" s="3" t="s">
        <v>548</v>
      </c>
      <c r="F158" s="6" t="s">
        <v>549</v>
      </c>
      <c r="G158" s="7" t="str">
        <f aca="false">HYPERLINK(CONCATENATE("http://crfop.gdos.gov.pl/CRFOP/widok/viewzespolprzyrodniczokrajobrazowy.jsf?fop=","PL.ZIPOP.1393.ZPK.78"),"(kliknij lub Ctrl+kliknij)")</f>
        <v>(kliknij lub Ctrl+kliknij)</v>
      </c>
    </row>
    <row r="159" customFormat="false" ht="12.8" hidden="false" customHeight="false" outlineLevel="0" collapsed="false">
      <c r="A159" s="1" t="s">
        <v>446</v>
      </c>
      <c r="B159" s="2" t="s">
        <v>550</v>
      </c>
      <c r="C159" s="3" t="s">
        <v>551</v>
      </c>
      <c r="D159" s="4" t="s">
        <v>552</v>
      </c>
      <c r="F159" s="6" t="s">
        <v>553</v>
      </c>
      <c r="G159" s="7" t="str">
        <f aca="false">HYPERLINK(CONCATENATE("http://crfop.gdos.gov.pl/CRFOP/widok/viewzespolprzyrodniczokrajobrazowy.jsf?fop=","PL.ZIPOP.1393.ZPK.83"),"(kliknij lub Ctrl+kliknij)")</f>
        <v>(kliknij lub Ctrl+kliknij)</v>
      </c>
    </row>
    <row r="160" customFormat="false" ht="114.25" hidden="false" customHeight="false" outlineLevel="0" collapsed="false">
      <c r="A160" s="1" t="s">
        <v>446</v>
      </c>
      <c r="B160" s="2" t="s">
        <v>554</v>
      </c>
      <c r="C160" s="3" t="s">
        <v>551</v>
      </c>
      <c r="D160" s="4" t="s">
        <v>555</v>
      </c>
      <c r="F160" s="10" t="s">
        <v>556</v>
      </c>
      <c r="G160" s="7" t="str">
        <f aca="false">HYPERLINK(CONCATENATE("http://crfop.gdos.gov.pl/CRFOP/widok/viewzespolprzyrodniczokrajobrazowy.jsf?fop=","PL.ZIPOP.1393.ZPK.84"),"(kliknij lub Ctrl+kliknij)")</f>
        <v>(kliknij lub Ctrl+kliknij)</v>
      </c>
    </row>
    <row r="161" customFormat="false" ht="12.8" hidden="false" customHeight="false" outlineLevel="0" collapsed="false">
      <c r="A161" s="1" t="s">
        <v>446</v>
      </c>
      <c r="B161" s="2" t="s">
        <v>557</v>
      </c>
      <c r="C161" s="3" t="s">
        <v>558</v>
      </c>
      <c r="D161" s="4" t="s">
        <v>559</v>
      </c>
      <c r="F161" s="6" t="s">
        <v>560</v>
      </c>
      <c r="G161" s="7" t="str">
        <f aca="false">HYPERLINK(CONCATENATE("http://crfop.gdos.gov.pl/CRFOP/widok/viewzespolprzyrodniczokrajobrazowy.jsf?fop=","PL.ZIPOP.1393.ZPK.319"),"(kliknij lub Ctrl+kliknij)")</f>
        <v>(kliknij lub Ctrl+kliknij)</v>
      </c>
    </row>
    <row r="162" customFormat="false" ht="12.8" hidden="false" customHeight="false" outlineLevel="0" collapsed="false">
      <c r="A162" s="1" t="s">
        <v>446</v>
      </c>
      <c r="B162" s="2" t="s">
        <v>561</v>
      </c>
      <c r="C162" s="3" t="s">
        <v>562</v>
      </c>
      <c r="D162" s="4" t="s">
        <v>563</v>
      </c>
      <c r="F162" s="6" t="s">
        <v>564</v>
      </c>
      <c r="G162" s="7" t="str">
        <f aca="false">HYPERLINK(CONCATENATE("http://crfop.gdos.gov.pl/CRFOP/widok/viewzespolprzyrodniczokrajobrazowy.jsf?fop=","PL.ZIPOP.1393.ZPK.339"),"(kliknij lub Ctrl+kliknij)")</f>
        <v>(kliknij lub Ctrl+kliknij)</v>
      </c>
    </row>
    <row r="163" customFormat="false" ht="114.25" hidden="false" customHeight="false" outlineLevel="0" collapsed="false">
      <c r="A163" s="1" t="s">
        <v>446</v>
      </c>
      <c r="B163" s="2" t="s">
        <v>565</v>
      </c>
      <c r="C163" s="3" t="s">
        <v>566</v>
      </c>
      <c r="D163" s="4" t="s">
        <v>567</v>
      </c>
      <c r="F163" s="10" t="s">
        <v>568</v>
      </c>
      <c r="G163" s="7" t="str">
        <f aca="false">HYPERLINK(CONCATENATE("http://crfop.gdos.gov.pl/CRFOP/widok/viewzespolprzyrodniczokrajobrazowy.jsf?fop=","PL.ZIPOP.1393.ZPK.360"),"(kliknij lub Ctrl+kliknij)")</f>
        <v>(kliknij lub Ctrl+kliknij)</v>
      </c>
    </row>
    <row r="164" customFormat="false" ht="12.8" hidden="false" customHeight="false" outlineLevel="0" collapsed="false">
      <c r="A164" s="1" t="s">
        <v>569</v>
      </c>
      <c r="C164" s="3" t="s">
        <v>570</v>
      </c>
      <c r="D164" s="4" t="s">
        <v>571</v>
      </c>
      <c r="F164" s="6" t="s">
        <v>572</v>
      </c>
      <c r="G164" s="7" t="str">
        <f aca="false">HYPERLINK(CONCATENATE("http://crfop.gdos.gov.pl/CRFOP/widok/viewpomnikprzyrody.jsf?fop=","PL.ZIPOP.1393.PP.1001011.1611"),"(kliknij lub Ctrl+kliknij)")</f>
        <v>(kliknij lub Ctrl+kliknij)</v>
      </c>
      <c r="H164" s="0" t="s">
        <v>573</v>
      </c>
    </row>
    <row r="165" customFormat="false" ht="12.8" hidden="false" customHeight="false" outlineLevel="0" collapsed="false">
      <c r="A165" s="1" t="s">
        <v>569</v>
      </c>
      <c r="C165" s="3" t="s">
        <v>574</v>
      </c>
      <c r="D165" s="4" t="s">
        <v>571</v>
      </c>
      <c r="F165" s="6" t="s">
        <v>575</v>
      </c>
      <c r="G165" s="7" t="str">
        <f aca="false">HYPERLINK(CONCATENATE("http://crfop.gdos.gov.pl/CRFOP/widok/viewpomnikprzyrody.jsf?fop=","PL.ZIPOP.1393.PP.1001011.1612"),"(kliknij lub Ctrl+kliknij)")</f>
        <v>(kliknij lub Ctrl+kliknij)</v>
      </c>
      <c r="H165" s="0" t="s">
        <v>573</v>
      </c>
    </row>
    <row r="166" customFormat="false" ht="12.8" hidden="false" customHeight="false" outlineLevel="0" collapsed="false">
      <c r="A166" s="1" t="s">
        <v>569</v>
      </c>
      <c r="C166" s="3" t="s">
        <v>570</v>
      </c>
      <c r="D166" s="4" t="s">
        <v>571</v>
      </c>
      <c r="F166" s="6" t="s">
        <v>572</v>
      </c>
      <c r="G166" s="7" t="str">
        <f aca="false">HYPERLINK(CONCATENATE("http://crfop.gdos.gov.pl/CRFOP/widok/viewpomnikprzyrody.jsf?fop=","PL.ZIPOP.1393.PP.1001011.1613"),"(kliknij lub Ctrl+kliknij)")</f>
        <v>(kliknij lub Ctrl+kliknij)</v>
      </c>
      <c r="H166" s="0" t="s">
        <v>573</v>
      </c>
    </row>
    <row r="167" customFormat="false" ht="12.8" hidden="false" customHeight="false" outlineLevel="0" collapsed="false">
      <c r="A167" s="1" t="s">
        <v>569</v>
      </c>
      <c r="C167" s="3" t="s">
        <v>570</v>
      </c>
      <c r="D167" s="4" t="s">
        <v>571</v>
      </c>
      <c r="F167" s="6" t="s">
        <v>572</v>
      </c>
      <c r="G167" s="7" t="str">
        <f aca="false">HYPERLINK(CONCATENATE("http://crfop.gdos.gov.pl/CRFOP/widok/viewpomnikprzyrody.jsf?fop=","PL.ZIPOP.1393.PP.1001022.1605"),"(kliknij lub Ctrl+kliknij)")</f>
        <v>(kliknij lub Ctrl+kliknij)</v>
      </c>
      <c r="H167" s="0" t="s">
        <v>573</v>
      </c>
    </row>
    <row r="168" customFormat="false" ht="12.8" hidden="false" customHeight="false" outlineLevel="0" collapsed="false">
      <c r="A168" s="1" t="s">
        <v>569</v>
      </c>
      <c r="C168" s="3" t="s">
        <v>570</v>
      </c>
      <c r="D168" s="4" t="s">
        <v>571</v>
      </c>
      <c r="F168" s="6" t="s">
        <v>572</v>
      </c>
      <c r="G168" s="7" t="str">
        <f aca="false">HYPERLINK(CONCATENATE("http://crfop.gdos.gov.pl/CRFOP/widok/viewpomnikprzyrody.jsf?fop=","PL.ZIPOP.1393.PP.1001022.1607"),"(kliknij lub Ctrl+kliknij)")</f>
        <v>(kliknij lub Ctrl+kliknij)</v>
      </c>
      <c r="H168" s="0" t="s">
        <v>573</v>
      </c>
    </row>
    <row r="169" customFormat="false" ht="12.8" hidden="false" customHeight="false" outlineLevel="0" collapsed="false">
      <c r="A169" s="1" t="s">
        <v>569</v>
      </c>
      <c r="C169" s="3" t="s">
        <v>570</v>
      </c>
      <c r="D169" s="4" t="s">
        <v>571</v>
      </c>
      <c r="F169" s="6" t="s">
        <v>572</v>
      </c>
      <c r="G169" s="7" t="str">
        <f aca="false">HYPERLINK(CONCATENATE("http://crfop.gdos.gov.pl/CRFOP/widok/viewpomnikprzyrody.jsf?fop=","PL.ZIPOP.1393.PP.1001022.1608"),"(kliknij lub Ctrl+kliknij)")</f>
        <v>(kliknij lub Ctrl+kliknij)</v>
      </c>
      <c r="H169" s="0" t="s">
        <v>573</v>
      </c>
    </row>
    <row r="170" customFormat="false" ht="12.8" hidden="false" customHeight="false" outlineLevel="0" collapsed="false">
      <c r="A170" s="1" t="s">
        <v>569</v>
      </c>
      <c r="C170" s="3" t="s">
        <v>574</v>
      </c>
      <c r="D170" s="4" t="s">
        <v>571</v>
      </c>
      <c r="F170" s="6" t="s">
        <v>575</v>
      </c>
      <c r="G170" s="7" t="str">
        <f aca="false">HYPERLINK(CONCATENATE("http://crfop.gdos.gov.pl/CRFOP/widok/viewpomnikprzyrody.jsf?fop=","PL.ZIPOP.1393.PP.1001022.1609"),"(kliknij lub Ctrl+kliknij)")</f>
        <v>(kliknij lub Ctrl+kliknij)</v>
      </c>
      <c r="H170" s="0" t="s">
        <v>573</v>
      </c>
    </row>
    <row r="171" customFormat="false" ht="12.8" hidden="false" customHeight="false" outlineLevel="0" collapsed="false">
      <c r="A171" s="1" t="s">
        <v>569</v>
      </c>
      <c r="B171" s="2" t="s">
        <v>576</v>
      </c>
      <c r="C171" s="3" t="s">
        <v>577</v>
      </c>
      <c r="D171" s="4" t="s">
        <v>571</v>
      </c>
      <c r="F171" s="6" t="s">
        <v>578</v>
      </c>
      <c r="G171" s="7" t="str">
        <f aca="false">HYPERLINK(CONCATENATE("http://crfop.gdos.gov.pl/CRFOP/widok/viewpomnikprzyrody.jsf?fop=","PL.ZIPOP.1393.PP.1001022.1610"),"(kliknij lub Ctrl+kliknij)")</f>
        <v>(kliknij lub Ctrl+kliknij)</v>
      </c>
      <c r="H171" s="0" t="s">
        <v>573</v>
      </c>
    </row>
    <row r="172" customFormat="false" ht="12.8" hidden="false" customHeight="false" outlineLevel="0" collapsed="false">
      <c r="A172" s="1" t="s">
        <v>569</v>
      </c>
      <c r="C172" s="3" t="s">
        <v>570</v>
      </c>
      <c r="D172" s="4" t="s">
        <v>571</v>
      </c>
      <c r="F172" s="6" t="s">
        <v>572</v>
      </c>
      <c r="G172" s="7" t="str">
        <f aca="false">HYPERLINK(CONCATENATE("http://crfop.gdos.gov.pl/CRFOP/widok/viewpomnikprzyrody.jsf?fop=","PL.ZIPOP.1393.PP.1001022.3037"),"(kliknij lub Ctrl+kliknij)")</f>
        <v>(kliknij lub Ctrl+kliknij)</v>
      </c>
      <c r="H172" s="0" t="s">
        <v>573</v>
      </c>
    </row>
    <row r="173" customFormat="false" ht="12.8" hidden="false" customHeight="false" outlineLevel="0" collapsed="false">
      <c r="A173" s="1" t="s">
        <v>569</v>
      </c>
      <c r="C173" s="3" t="s">
        <v>570</v>
      </c>
      <c r="D173" s="4" t="s">
        <v>571</v>
      </c>
      <c r="F173" s="6" t="s">
        <v>572</v>
      </c>
      <c r="G173" s="7" t="str">
        <f aca="false">HYPERLINK(CONCATENATE("http://crfop.gdos.gov.pl/CRFOP/widok/viewpomnikprzyrody.jsf?fop=","PL.ZIPOP.1393.PP.1001022.3038"),"(kliknij lub Ctrl+kliknij)")</f>
        <v>(kliknij lub Ctrl+kliknij)</v>
      </c>
      <c r="H173" s="0" t="s">
        <v>573</v>
      </c>
    </row>
    <row r="174" customFormat="false" ht="12.8" hidden="false" customHeight="false" outlineLevel="0" collapsed="false">
      <c r="A174" s="1" t="s">
        <v>569</v>
      </c>
      <c r="C174" s="3" t="s">
        <v>570</v>
      </c>
      <c r="D174" s="4" t="s">
        <v>571</v>
      </c>
      <c r="F174" s="6" t="s">
        <v>572</v>
      </c>
      <c r="G174" s="7" t="str">
        <f aca="false">HYPERLINK(CONCATENATE("http://crfop.gdos.gov.pl/CRFOP/widok/viewpomnikprzyrody.jsf?fop=","PL.ZIPOP.1393.PP.1001032.1614"),"(kliknij lub Ctrl+kliknij)")</f>
        <v>(kliknij lub Ctrl+kliknij)</v>
      </c>
      <c r="H174" s="0" t="s">
        <v>579</v>
      </c>
    </row>
    <row r="175" customFormat="false" ht="12.8" hidden="false" customHeight="false" outlineLevel="0" collapsed="false">
      <c r="A175" s="1" t="s">
        <v>569</v>
      </c>
      <c r="B175" s="2" t="s">
        <v>580</v>
      </c>
      <c r="C175" s="3" t="s">
        <v>570</v>
      </c>
      <c r="D175" s="4" t="s">
        <v>571</v>
      </c>
      <c r="F175" s="6" t="s">
        <v>572</v>
      </c>
      <c r="G175" s="7" t="str">
        <f aca="false">HYPERLINK(CONCATENATE("http://crfop.gdos.gov.pl/CRFOP/widok/viewpomnikprzyrody.jsf?fop=","PL.ZIPOP.1393.PP.1001032.1615"),"(kliknij lub Ctrl+kliknij)")</f>
        <v>(kliknij lub Ctrl+kliknij)</v>
      </c>
      <c r="H175" s="0" t="s">
        <v>579</v>
      </c>
    </row>
    <row r="176" customFormat="false" ht="12.8" hidden="false" customHeight="false" outlineLevel="0" collapsed="false">
      <c r="A176" s="1" t="s">
        <v>569</v>
      </c>
      <c r="C176" s="3" t="s">
        <v>574</v>
      </c>
      <c r="D176" s="4" t="s">
        <v>571</v>
      </c>
      <c r="F176" s="6" t="s">
        <v>575</v>
      </c>
      <c r="G176" s="7" t="str">
        <f aca="false">HYPERLINK(CONCATENATE("http://crfop.gdos.gov.pl/CRFOP/widok/viewpomnikprzyrody.jsf?fop=","PL.ZIPOP.1393.PP.1001052.1616"),"(kliknij lub Ctrl+kliknij)")</f>
        <v>(kliknij lub Ctrl+kliknij)</v>
      </c>
      <c r="H176" s="0" t="s">
        <v>581</v>
      </c>
    </row>
    <row r="177" customFormat="false" ht="12.8" hidden="false" customHeight="false" outlineLevel="0" collapsed="false">
      <c r="A177" s="1" t="s">
        <v>569</v>
      </c>
      <c r="C177" s="3" t="s">
        <v>574</v>
      </c>
      <c r="D177" s="4" t="s">
        <v>571</v>
      </c>
      <c r="F177" s="6" t="s">
        <v>575</v>
      </c>
      <c r="G177" s="7" t="str">
        <f aca="false">HYPERLINK(CONCATENATE("http://crfop.gdos.gov.pl/CRFOP/widok/viewpomnikprzyrody.jsf?fop=","PL.ZIPOP.1393.PP.1001052.1617"),"(kliknij lub Ctrl+kliknij)")</f>
        <v>(kliknij lub Ctrl+kliknij)</v>
      </c>
      <c r="H177" s="0" t="s">
        <v>581</v>
      </c>
    </row>
    <row r="178" customFormat="false" ht="12.8" hidden="false" customHeight="false" outlineLevel="0" collapsed="false">
      <c r="A178" s="1" t="s">
        <v>569</v>
      </c>
      <c r="C178" s="3" t="s">
        <v>582</v>
      </c>
      <c r="D178" s="4" t="s">
        <v>571</v>
      </c>
      <c r="F178" s="6" t="s">
        <v>583</v>
      </c>
      <c r="G178" s="7" t="str">
        <f aca="false">HYPERLINK(CONCATENATE("http://crfop.gdos.gov.pl/CRFOP/widok/viewpomnikprzyrody.jsf?fop=","PL.ZIPOP.1393.PP.1001052.1625"),"(kliknij lub Ctrl+kliknij)")</f>
        <v>(kliknij lub Ctrl+kliknij)</v>
      </c>
      <c r="H178" s="0" t="s">
        <v>581</v>
      </c>
    </row>
    <row r="179" customFormat="false" ht="12.8" hidden="false" customHeight="false" outlineLevel="0" collapsed="false">
      <c r="A179" s="1" t="s">
        <v>569</v>
      </c>
      <c r="C179" s="3" t="s">
        <v>584</v>
      </c>
      <c r="D179" s="4" t="s">
        <v>571</v>
      </c>
      <c r="F179" s="6" t="s">
        <v>585</v>
      </c>
      <c r="G179" s="7" t="str">
        <f aca="false">HYPERLINK(CONCATENATE("http://crfop.gdos.gov.pl/CRFOP/widok/viewpomnikprzyrody.jsf?fop=","PL.ZIPOP.1393.PP.1001062.1627"),"(kliknij lub Ctrl+kliknij)")</f>
        <v>(kliknij lub Ctrl+kliknij)</v>
      </c>
      <c r="H179" s="0" t="s">
        <v>586</v>
      </c>
    </row>
    <row r="180" customFormat="false" ht="12.8" hidden="false" customHeight="false" outlineLevel="0" collapsed="false">
      <c r="A180" s="1" t="s">
        <v>569</v>
      </c>
      <c r="C180" s="3" t="s">
        <v>584</v>
      </c>
      <c r="D180" s="4" t="s">
        <v>571</v>
      </c>
      <c r="F180" s="6" t="s">
        <v>585</v>
      </c>
      <c r="G180" s="7" t="str">
        <f aca="false">HYPERLINK(CONCATENATE("http://crfop.gdos.gov.pl/CRFOP/widok/viewpomnikprzyrody.jsf?fop=","PL.ZIPOP.1393.PP.1001062.1628"),"(kliknij lub Ctrl+kliknij)")</f>
        <v>(kliknij lub Ctrl+kliknij)</v>
      </c>
      <c r="H180" s="0" t="s">
        <v>586</v>
      </c>
    </row>
    <row r="181" customFormat="false" ht="12.8" hidden="false" customHeight="false" outlineLevel="0" collapsed="false">
      <c r="A181" s="1" t="s">
        <v>569</v>
      </c>
      <c r="C181" s="3" t="s">
        <v>584</v>
      </c>
      <c r="D181" s="4" t="s">
        <v>571</v>
      </c>
      <c r="F181" s="6" t="s">
        <v>585</v>
      </c>
      <c r="G181" s="7" t="str">
        <f aca="false">HYPERLINK(CONCATENATE("http://crfop.gdos.gov.pl/CRFOP/widok/viewpomnikprzyrody.jsf?fop=","PL.ZIPOP.1393.PP.1001062.1629"),"(kliknij lub Ctrl+kliknij)")</f>
        <v>(kliknij lub Ctrl+kliknij)</v>
      </c>
      <c r="H181" s="0" t="s">
        <v>586</v>
      </c>
    </row>
    <row r="182" customFormat="false" ht="12.8" hidden="false" customHeight="false" outlineLevel="0" collapsed="false">
      <c r="A182" s="1" t="s">
        <v>569</v>
      </c>
      <c r="C182" s="3" t="s">
        <v>584</v>
      </c>
      <c r="D182" s="4" t="s">
        <v>571</v>
      </c>
      <c r="F182" s="6" t="s">
        <v>585</v>
      </c>
      <c r="G182" s="7" t="str">
        <f aca="false">HYPERLINK(CONCATENATE("http://crfop.gdos.gov.pl/CRFOP/widok/viewpomnikprzyrody.jsf?fop=","PL.ZIPOP.1393.PP.1001062.1630"),"(kliknij lub Ctrl+kliknij)")</f>
        <v>(kliknij lub Ctrl+kliknij)</v>
      </c>
      <c r="H182" s="0" t="s">
        <v>586</v>
      </c>
    </row>
    <row r="183" customFormat="false" ht="12.8" hidden="false" customHeight="false" outlineLevel="0" collapsed="false">
      <c r="A183" s="1" t="s">
        <v>569</v>
      </c>
      <c r="C183" s="3" t="s">
        <v>587</v>
      </c>
      <c r="D183" s="4" t="s">
        <v>571</v>
      </c>
      <c r="F183" s="6" t="s">
        <v>575</v>
      </c>
      <c r="G183" s="7" t="str">
        <f aca="false">HYPERLINK(CONCATENATE("http://crfop.gdos.gov.pl/CRFOP/widok/viewpomnikprzyrody.jsf?fop=","PL.ZIPOP.1393.PP.1001072.1631"),"(kliknij lub Ctrl+kliknij)")</f>
        <v>(kliknij lub Ctrl+kliknij)</v>
      </c>
      <c r="H183" s="0" t="s">
        <v>588</v>
      </c>
    </row>
    <row r="184" customFormat="false" ht="12.8" hidden="false" customHeight="false" outlineLevel="0" collapsed="false">
      <c r="A184" s="1" t="s">
        <v>569</v>
      </c>
      <c r="B184" s="2" t="s">
        <v>589</v>
      </c>
      <c r="C184" s="3" t="s">
        <v>574</v>
      </c>
      <c r="D184" s="4" t="s">
        <v>571</v>
      </c>
      <c r="F184" s="6" t="s">
        <v>575</v>
      </c>
      <c r="G184" s="7" t="str">
        <f aca="false">HYPERLINK(CONCATENATE("http://crfop.gdos.gov.pl/CRFOP/widok/viewpomnikprzyrody.jsf?fop=","PL.ZIPOP.1393.PP.1001072.1632"),"(kliknij lub Ctrl+kliknij)")</f>
        <v>(kliknij lub Ctrl+kliknij)</v>
      </c>
      <c r="H184" s="0" t="s">
        <v>588</v>
      </c>
    </row>
    <row r="185" customFormat="false" ht="12.8" hidden="false" customHeight="false" outlineLevel="0" collapsed="false">
      <c r="A185" s="1" t="s">
        <v>569</v>
      </c>
      <c r="C185" s="3" t="s">
        <v>570</v>
      </c>
      <c r="D185" s="4" t="s">
        <v>571</v>
      </c>
      <c r="F185" s="6" t="s">
        <v>572</v>
      </c>
      <c r="G185" s="7" t="str">
        <f aca="false">HYPERLINK(CONCATENATE("http://crfop.gdos.gov.pl/CRFOP/widok/viewpomnikprzyrody.jsf?fop=","PL.ZIPOP.1393.PP.1001083.1638"),"(kliknij lub Ctrl+kliknij)")</f>
        <v>(kliknij lub Ctrl+kliknij)</v>
      </c>
      <c r="H185" s="0" t="s">
        <v>590</v>
      </c>
    </row>
    <row r="186" customFormat="false" ht="12.8" hidden="false" customHeight="false" outlineLevel="0" collapsed="false">
      <c r="A186" s="1" t="s">
        <v>569</v>
      </c>
      <c r="C186" s="3" t="s">
        <v>591</v>
      </c>
      <c r="D186" s="4" t="s">
        <v>571</v>
      </c>
      <c r="F186" s="6" t="s">
        <v>592</v>
      </c>
      <c r="G186" s="7" t="str">
        <f aca="false">HYPERLINK(CONCATENATE("http://crfop.gdos.gov.pl/CRFOP/widok/viewpomnikprzyrody.jsf?fop=","PL.ZIPOP.1393.PP.1001083.1639"),"(kliknij lub Ctrl+kliknij)")</f>
        <v>(kliknij lub Ctrl+kliknij)</v>
      </c>
      <c r="H186" s="0" t="s">
        <v>590</v>
      </c>
    </row>
    <row r="187" customFormat="false" ht="12.8" hidden="false" customHeight="false" outlineLevel="0" collapsed="false">
      <c r="A187" s="1" t="s">
        <v>569</v>
      </c>
      <c r="C187" s="3" t="s">
        <v>591</v>
      </c>
      <c r="D187" s="4" t="s">
        <v>571</v>
      </c>
      <c r="F187" s="6" t="s">
        <v>592</v>
      </c>
      <c r="G187" s="7" t="str">
        <f aca="false">HYPERLINK(CONCATENATE("http://crfop.gdos.gov.pl/CRFOP/widok/viewpomnikprzyrody.jsf?fop=","PL.ZIPOP.1393.PP.1001083.1640"),"(kliknij lub Ctrl+kliknij)")</f>
        <v>(kliknij lub Ctrl+kliknij)</v>
      </c>
      <c r="H187" s="0" t="s">
        <v>590</v>
      </c>
    </row>
    <row r="188" customFormat="false" ht="12.8" hidden="false" customHeight="false" outlineLevel="0" collapsed="false">
      <c r="A188" s="1" t="s">
        <v>569</v>
      </c>
      <c r="B188" s="2" t="s">
        <v>593</v>
      </c>
      <c r="C188" s="3" t="s">
        <v>594</v>
      </c>
      <c r="D188" s="4" t="s">
        <v>571</v>
      </c>
      <c r="F188" s="6" t="s">
        <v>595</v>
      </c>
      <c r="G188" s="7" t="str">
        <f aca="false">HYPERLINK(CONCATENATE("http://crfop.gdos.gov.pl/CRFOP/widok/viewpomnikprzyrody.jsf?fop=","PL.ZIPOP.1393.PP.1001083.1641"),"(kliknij lub Ctrl+kliknij)")</f>
        <v>(kliknij lub Ctrl+kliknij)</v>
      </c>
      <c r="H188" s="0" t="s">
        <v>590</v>
      </c>
    </row>
    <row r="189" customFormat="false" ht="12.8" hidden="false" customHeight="false" outlineLevel="0" collapsed="false">
      <c r="A189" s="1" t="s">
        <v>569</v>
      </c>
      <c r="B189" s="2" t="s">
        <v>596</v>
      </c>
      <c r="C189" s="3" t="s">
        <v>594</v>
      </c>
      <c r="D189" s="4" t="s">
        <v>571</v>
      </c>
      <c r="F189" s="6" t="s">
        <v>595</v>
      </c>
      <c r="G189" s="7" t="str">
        <f aca="false">HYPERLINK(CONCATENATE("http://crfop.gdos.gov.pl/CRFOP/widok/viewpomnikprzyrody.jsf?fop=","PL.ZIPOP.1393.PP.1001083.1642"),"(kliknij lub Ctrl+kliknij)")</f>
        <v>(kliknij lub Ctrl+kliknij)</v>
      </c>
      <c r="H189" s="0" t="s">
        <v>590</v>
      </c>
    </row>
    <row r="190" customFormat="false" ht="12.8" hidden="false" customHeight="false" outlineLevel="0" collapsed="false">
      <c r="A190" s="1" t="s">
        <v>569</v>
      </c>
      <c r="C190" s="3" t="s">
        <v>597</v>
      </c>
      <c r="D190" s="4" t="s">
        <v>571</v>
      </c>
      <c r="F190" s="6" t="s">
        <v>598</v>
      </c>
      <c r="G190" s="7" t="str">
        <f aca="false">HYPERLINK(CONCATENATE("http://crfop.gdos.gov.pl/CRFOP/widok/viewpomnikprzyrody.jsf?fop=","PL.ZIPOP.1393.PP.1002011.862"),"(kliknij lub Ctrl+kliknij)")</f>
        <v>(kliknij lub Ctrl+kliknij)</v>
      </c>
      <c r="H190" s="0" t="s">
        <v>599</v>
      </c>
    </row>
    <row r="191" customFormat="false" ht="12.8" hidden="false" customHeight="false" outlineLevel="0" collapsed="false">
      <c r="A191" s="1" t="s">
        <v>569</v>
      </c>
      <c r="C191" s="3" t="s">
        <v>600</v>
      </c>
      <c r="D191" s="4" t="s">
        <v>571</v>
      </c>
      <c r="F191" s="6" t="s">
        <v>601</v>
      </c>
      <c r="G191" s="7" t="str">
        <f aca="false">HYPERLINK(CONCATENATE("http://crfop.gdos.gov.pl/CRFOP/widok/viewpomnikprzyrody.jsf?fop=","PL.ZIPOP.1393.PP.1002011.863"),"(kliknij lub Ctrl+kliknij)")</f>
        <v>(kliknij lub Ctrl+kliknij)</v>
      </c>
      <c r="H191" s="0" t="s">
        <v>599</v>
      </c>
    </row>
    <row r="192" customFormat="false" ht="12.8" hidden="false" customHeight="false" outlineLevel="0" collapsed="false">
      <c r="A192" s="1" t="s">
        <v>569</v>
      </c>
      <c r="C192" s="3" t="s">
        <v>600</v>
      </c>
      <c r="D192" s="4" t="s">
        <v>571</v>
      </c>
      <c r="F192" s="6" t="s">
        <v>601</v>
      </c>
      <c r="G192" s="7" t="str">
        <f aca="false">HYPERLINK(CONCATENATE("http://crfop.gdos.gov.pl/CRFOP/widok/viewpomnikprzyrody.jsf?fop=","PL.ZIPOP.1393.PP.1002011.864"),"(kliknij lub Ctrl+kliknij)")</f>
        <v>(kliknij lub Ctrl+kliknij)</v>
      </c>
      <c r="H192" s="0" t="s">
        <v>599</v>
      </c>
    </row>
    <row r="193" customFormat="false" ht="12.8" hidden="false" customHeight="false" outlineLevel="0" collapsed="false">
      <c r="A193" s="1" t="s">
        <v>569</v>
      </c>
      <c r="C193" s="3" t="s">
        <v>600</v>
      </c>
      <c r="D193" s="4" t="s">
        <v>571</v>
      </c>
      <c r="F193" s="6" t="s">
        <v>601</v>
      </c>
      <c r="G193" s="7" t="str">
        <f aca="false">HYPERLINK(CONCATENATE("http://crfop.gdos.gov.pl/CRFOP/widok/viewpomnikprzyrody.jsf?fop=","PL.ZIPOP.1393.PP.1002011.866"),"(kliknij lub Ctrl+kliknij)")</f>
        <v>(kliknij lub Ctrl+kliknij)</v>
      </c>
      <c r="H193" s="0" t="s">
        <v>599</v>
      </c>
    </row>
    <row r="194" customFormat="false" ht="12.8" hidden="false" customHeight="false" outlineLevel="0" collapsed="false">
      <c r="A194" s="1" t="s">
        <v>569</v>
      </c>
      <c r="C194" s="3" t="s">
        <v>602</v>
      </c>
      <c r="D194" s="4" t="s">
        <v>571</v>
      </c>
      <c r="F194" s="6" t="s">
        <v>603</v>
      </c>
      <c r="G194" s="7" t="str">
        <f aca="false">HYPERLINK(CONCATENATE("http://crfop.gdos.gov.pl/CRFOP/widok/viewpomnikprzyrody.jsf?fop=","PL.ZIPOP.1393.PP.1002011.867"),"(kliknij lub Ctrl+kliknij)")</f>
        <v>(kliknij lub Ctrl+kliknij)</v>
      </c>
      <c r="H194" s="0" t="s">
        <v>599</v>
      </c>
    </row>
    <row r="195" customFormat="false" ht="12.8" hidden="false" customHeight="false" outlineLevel="0" collapsed="false">
      <c r="A195" s="1" t="s">
        <v>569</v>
      </c>
      <c r="C195" s="3" t="s">
        <v>602</v>
      </c>
      <c r="D195" s="4" t="s">
        <v>571</v>
      </c>
      <c r="F195" s="6" t="s">
        <v>603</v>
      </c>
      <c r="G195" s="7" t="str">
        <f aca="false">HYPERLINK(CONCATENATE("http://crfop.gdos.gov.pl/CRFOP/widok/viewpomnikprzyrody.jsf?fop=","PL.ZIPOP.1393.PP.1002011.868"),"(kliknij lub Ctrl+kliknij)")</f>
        <v>(kliknij lub Ctrl+kliknij)</v>
      </c>
      <c r="H195" s="0" t="s">
        <v>599</v>
      </c>
    </row>
    <row r="196" customFormat="false" ht="12.8" hidden="false" customHeight="false" outlineLevel="0" collapsed="false">
      <c r="A196" s="1" t="s">
        <v>569</v>
      </c>
      <c r="B196" s="2" t="s">
        <v>604</v>
      </c>
      <c r="C196" s="3" t="s">
        <v>605</v>
      </c>
      <c r="D196" s="4" t="s">
        <v>571</v>
      </c>
      <c r="F196" s="6" t="s">
        <v>606</v>
      </c>
      <c r="G196" s="7" t="str">
        <f aca="false">HYPERLINK(CONCATENATE("http://crfop.gdos.gov.pl/CRFOP/widok/viewpomnikprzyrody.jsf?fop=","PL.ZIPOP.1393.PP.1002022.887"),"(kliknij lub Ctrl+kliknij)")</f>
        <v>(kliknij lub Ctrl+kliknij)</v>
      </c>
      <c r="H196" s="0" t="s">
        <v>607</v>
      </c>
    </row>
    <row r="197" customFormat="false" ht="12.8" hidden="false" customHeight="false" outlineLevel="0" collapsed="false">
      <c r="A197" s="1" t="s">
        <v>569</v>
      </c>
      <c r="C197" s="3" t="s">
        <v>608</v>
      </c>
      <c r="D197" s="4" t="s">
        <v>571</v>
      </c>
      <c r="F197" s="6" t="s">
        <v>609</v>
      </c>
      <c r="G197" s="7" t="str">
        <f aca="false">HYPERLINK(CONCATENATE("http://crfop.gdos.gov.pl/CRFOP/widok/viewpomnikprzyrody.jsf?fop=","PL.ZIPOP.1393.PP.1002022.888"),"(kliknij lub Ctrl+kliknij)")</f>
        <v>(kliknij lub Ctrl+kliknij)</v>
      </c>
      <c r="H197" s="0" t="s">
        <v>607</v>
      </c>
    </row>
    <row r="198" customFormat="false" ht="12.8" hidden="false" customHeight="false" outlineLevel="0" collapsed="false">
      <c r="A198" s="1" t="s">
        <v>569</v>
      </c>
      <c r="C198" s="3" t="s">
        <v>608</v>
      </c>
      <c r="D198" s="4" t="s">
        <v>571</v>
      </c>
      <c r="F198" s="6" t="s">
        <v>609</v>
      </c>
      <c r="G198" s="7" t="str">
        <f aca="false">HYPERLINK(CONCATENATE("http://crfop.gdos.gov.pl/CRFOP/widok/viewpomnikprzyrody.jsf?fop=","PL.ZIPOP.1393.PP.1002022.889"),"(kliknij lub Ctrl+kliknij)")</f>
        <v>(kliknij lub Ctrl+kliknij)</v>
      </c>
      <c r="H198" s="0" t="s">
        <v>607</v>
      </c>
    </row>
    <row r="199" customFormat="false" ht="12.8" hidden="false" customHeight="false" outlineLevel="0" collapsed="false">
      <c r="A199" s="1" t="s">
        <v>569</v>
      </c>
      <c r="C199" s="3" t="s">
        <v>608</v>
      </c>
      <c r="D199" s="4" t="s">
        <v>571</v>
      </c>
      <c r="F199" s="6" t="s">
        <v>609</v>
      </c>
      <c r="G199" s="7" t="str">
        <f aca="false">HYPERLINK(CONCATENATE("http://crfop.gdos.gov.pl/CRFOP/widok/viewpomnikprzyrody.jsf?fop=","PL.ZIPOP.1393.PP.1002022.890"),"(kliknij lub Ctrl+kliknij)")</f>
        <v>(kliknij lub Ctrl+kliknij)</v>
      </c>
      <c r="H199" s="0" t="s">
        <v>607</v>
      </c>
    </row>
    <row r="200" customFormat="false" ht="12.8" hidden="false" customHeight="false" outlineLevel="0" collapsed="false">
      <c r="A200" s="1" t="s">
        <v>569</v>
      </c>
      <c r="C200" s="3" t="s">
        <v>608</v>
      </c>
      <c r="D200" s="4" t="s">
        <v>571</v>
      </c>
      <c r="F200" s="6" t="s">
        <v>609</v>
      </c>
      <c r="G200" s="7" t="str">
        <f aca="false">HYPERLINK(CONCATENATE("http://crfop.gdos.gov.pl/CRFOP/widok/viewpomnikprzyrody.jsf?fop=","PL.ZIPOP.1393.PP.1002022.891"),"(kliknij lub Ctrl+kliknij)")</f>
        <v>(kliknij lub Ctrl+kliknij)</v>
      </c>
      <c r="H200" s="0" t="s">
        <v>607</v>
      </c>
    </row>
    <row r="201" customFormat="false" ht="12.8" hidden="false" customHeight="false" outlineLevel="0" collapsed="false">
      <c r="A201" s="1" t="s">
        <v>569</v>
      </c>
      <c r="C201" s="3" t="s">
        <v>608</v>
      </c>
      <c r="D201" s="4" t="s">
        <v>571</v>
      </c>
      <c r="F201" s="6" t="s">
        <v>609</v>
      </c>
      <c r="G201" s="7" t="str">
        <f aca="false">HYPERLINK(CONCATENATE("http://crfop.gdos.gov.pl/CRFOP/widok/viewpomnikprzyrody.jsf?fop=","PL.ZIPOP.1393.PP.1002022.892"),"(kliknij lub Ctrl+kliknij)")</f>
        <v>(kliknij lub Ctrl+kliknij)</v>
      </c>
      <c r="H201" s="0" t="s">
        <v>607</v>
      </c>
    </row>
    <row r="202" customFormat="false" ht="12.8" hidden="false" customHeight="false" outlineLevel="0" collapsed="false">
      <c r="A202" s="1" t="s">
        <v>569</v>
      </c>
      <c r="C202" s="3" t="s">
        <v>610</v>
      </c>
      <c r="D202" s="4" t="s">
        <v>571</v>
      </c>
      <c r="F202" s="6" t="s">
        <v>611</v>
      </c>
      <c r="G202" s="7" t="str">
        <f aca="false">HYPERLINK(CONCATENATE("http://crfop.gdos.gov.pl/CRFOP/widok/viewpomnikprzyrody.jsf?fop=","PL.ZIPOP.1393.PP.1002022.893"),"(kliknij lub Ctrl+kliknij)")</f>
        <v>(kliknij lub Ctrl+kliknij)</v>
      </c>
      <c r="H202" s="0" t="s">
        <v>607</v>
      </c>
    </row>
    <row r="203" customFormat="false" ht="12.8" hidden="false" customHeight="false" outlineLevel="0" collapsed="false">
      <c r="A203" s="1" t="s">
        <v>569</v>
      </c>
      <c r="C203" s="3" t="s">
        <v>608</v>
      </c>
      <c r="D203" s="4" t="s">
        <v>571</v>
      </c>
      <c r="F203" s="6" t="s">
        <v>612</v>
      </c>
      <c r="G203" s="7" t="str">
        <f aca="false">HYPERLINK(CONCATENATE("http://crfop.gdos.gov.pl/CRFOP/widok/viewpomnikprzyrody.jsf?fop=","PL.ZIPOP.1393.PP.1002043.869"),"(kliknij lub Ctrl+kliknij)")</f>
        <v>(kliknij lub Ctrl+kliknij)</v>
      </c>
      <c r="H203" s="0" t="s">
        <v>613</v>
      </c>
    </row>
    <row r="204" customFormat="false" ht="12.8" hidden="false" customHeight="false" outlineLevel="0" collapsed="false">
      <c r="A204" s="1" t="s">
        <v>569</v>
      </c>
      <c r="C204" s="3" t="s">
        <v>608</v>
      </c>
      <c r="D204" s="4" t="s">
        <v>571</v>
      </c>
      <c r="F204" s="6" t="s">
        <v>614</v>
      </c>
      <c r="G204" s="7" t="str">
        <f aca="false">HYPERLINK(CONCATENATE("http://crfop.gdos.gov.pl/CRFOP/widok/viewpomnikprzyrody.jsf?fop=","PL.ZIPOP.1393.PP.1002052.903"),"(kliknij lub Ctrl+kliknij)")</f>
        <v>(kliknij lub Ctrl+kliknij)</v>
      </c>
      <c r="H204" s="0" t="s">
        <v>615</v>
      </c>
    </row>
    <row r="205" customFormat="false" ht="12.8" hidden="false" customHeight="false" outlineLevel="0" collapsed="false">
      <c r="A205" s="1" t="s">
        <v>569</v>
      </c>
      <c r="C205" s="3" t="s">
        <v>608</v>
      </c>
      <c r="D205" s="4" t="s">
        <v>571</v>
      </c>
      <c r="F205" s="6" t="s">
        <v>616</v>
      </c>
      <c r="G205" s="7" t="str">
        <f aca="false">HYPERLINK(CONCATENATE("http://crfop.gdos.gov.pl/CRFOP/widok/viewpomnikprzyrody.jsf?fop=","PL.ZIPOP.1393.PP.1002062.851"),"(kliknij lub Ctrl+kliknij)")</f>
        <v>(kliknij lub Ctrl+kliknij)</v>
      </c>
      <c r="H205" s="0" t="s">
        <v>599</v>
      </c>
    </row>
    <row r="206" customFormat="false" ht="12.8" hidden="false" customHeight="false" outlineLevel="0" collapsed="false">
      <c r="A206" s="1" t="s">
        <v>569</v>
      </c>
      <c r="C206" s="3" t="s">
        <v>608</v>
      </c>
      <c r="D206" s="4" t="s">
        <v>571</v>
      </c>
      <c r="F206" s="6" t="s">
        <v>617</v>
      </c>
      <c r="G206" s="7" t="str">
        <f aca="false">HYPERLINK(CONCATENATE("http://crfop.gdos.gov.pl/CRFOP/widok/viewpomnikprzyrody.jsf?fop=","PL.ZIPOP.1393.PP.1002062.852"),"(kliknij lub Ctrl+kliknij)")</f>
        <v>(kliknij lub Ctrl+kliknij)</v>
      </c>
      <c r="H206" s="0" t="s">
        <v>599</v>
      </c>
    </row>
    <row r="207" customFormat="false" ht="12.8" hidden="false" customHeight="false" outlineLevel="0" collapsed="false">
      <c r="A207" s="1" t="s">
        <v>569</v>
      </c>
      <c r="C207" s="3" t="s">
        <v>608</v>
      </c>
      <c r="D207" s="4" t="s">
        <v>571</v>
      </c>
      <c r="F207" s="6" t="s">
        <v>617</v>
      </c>
      <c r="G207" s="7" t="str">
        <f aca="false">HYPERLINK(CONCATENATE("http://crfop.gdos.gov.pl/CRFOP/widok/viewpomnikprzyrody.jsf?fop=","PL.ZIPOP.1393.PP.1002062.853"),"(kliknij lub Ctrl+kliknij)")</f>
        <v>(kliknij lub Ctrl+kliknij)</v>
      </c>
      <c r="H207" s="0" t="s">
        <v>599</v>
      </c>
    </row>
    <row r="208" customFormat="false" ht="12.8" hidden="false" customHeight="false" outlineLevel="0" collapsed="false">
      <c r="A208" s="1" t="s">
        <v>569</v>
      </c>
      <c r="C208" s="3" t="s">
        <v>600</v>
      </c>
      <c r="D208" s="4" t="s">
        <v>571</v>
      </c>
      <c r="F208" s="6" t="s">
        <v>618</v>
      </c>
      <c r="G208" s="7" t="str">
        <f aca="false">HYPERLINK(CONCATENATE("http://crfop.gdos.gov.pl/CRFOP/widok/viewpomnikprzyrody.jsf?fop=","PL.ZIPOP.1393.PP.1002062.854"),"(kliknij lub Ctrl+kliknij)")</f>
        <v>(kliknij lub Ctrl+kliknij)</v>
      </c>
      <c r="H208" s="0" t="s">
        <v>599</v>
      </c>
    </row>
    <row r="209" customFormat="false" ht="12.8" hidden="false" customHeight="false" outlineLevel="0" collapsed="false">
      <c r="A209" s="1" t="s">
        <v>569</v>
      </c>
      <c r="C209" s="3" t="s">
        <v>600</v>
      </c>
      <c r="D209" s="4" t="s">
        <v>571</v>
      </c>
      <c r="F209" s="6" t="s">
        <v>618</v>
      </c>
      <c r="G209" s="7" t="str">
        <f aca="false">HYPERLINK(CONCATENATE("http://crfop.gdos.gov.pl/CRFOP/widok/viewpomnikprzyrody.jsf?fop=","PL.ZIPOP.1393.PP.1002062.856"),"(kliknij lub Ctrl+kliknij)")</f>
        <v>(kliknij lub Ctrl+kliknij)</v>
      </c>
      <c r="H209" s="0" t="s">
        <v>599</v>
      </c>
    </row>
    <row r="210" customFormat="false" ht="12.8" hidden="false" customHeight="false" outlineLevel="0" collapsed="false">
      <c r="A210" s="1" t="s">
        <v>569</v>
      </c>
      <c r="C210" s="3" t="s">
        <v>619</v>
      </c>
      <c r="D210" s="4" t="s">
        <v>571</v>
      </c>
      <c r="F210" s="6" t="s">
        <v>620</v>
      </c>
      <c r="G210" s="7" t="str">
        <f aca="false">HYPERLINK(CONCATENATE("http://crfop.gdos.gov.pl/CRFOP/widok/viewpomnikprzyrody.jsf?fop=","PL.ZIPOP.1393.PP.1002062.859"),"(kliknij lub Ctrl+kliknij)")</f>
        <v>(kliknij lub Ctrl+kliknij)</v>
      </c>
      <c r="H210" s="0" t="s">
        <v>599</v>
      </c>
    </row>
    <row r="211" customFormat="false" ht="12.8" hidden="false" customHeight="false" outlineLevel="0" collapsed="false">
      <c r="A211" s="1" t="s">
        <v>569</v>
      </c>
      <c r="C211" s="3" t="s">
        <v>619</v>
      </c>
      <c r="D211" s="4" t="s">
        <v>571</v>
      </c>
      <c r="F211" s="6" t="s">
        <v>620</v>
      </c>
      <c r="G211" s="7" t="str">
        <f aca="false">HYPERLINK(CONCATENATE("http://crfop.gdos.gov.pl/CRFOP/widok/viewpomnikprzyrody.jsf?fop=","PL.ZIPOP.1393.PP.1002062.860"),"(kliknij lub Ctrl+kliknij)")</f>
        <v>(kliknij lub Ctrl+kliknij)</v>
      </c>
      <c r="H211" s="0" t="s">
        <v>599</v>
      </c>
    </row>
    <row r="212" customFormat="false" ht="12.8" hidden="false" customHeight="false" outlineLevel="0" collapsed="false">
      <c r="A212" s="1" t="s">
        <v>569</v>
      </c>
      <c r="C212" s="3" t="s">
        <v>610</v>
      </c>
      <c r="D212" s="4" t="s">
        <v>571</v>
      </c>
      <c r="F212" s="6" t="s">
        <v>611</v>
      </c>
      <c r="G212" s="7" t="str">
        <f aca="false">HYPERLINK(CONCATENATE("http://crfop.gdos.gov.pl/CRFOP/widok/viewpomnikprzyrody.jsf?fop=","PL.ZIPOP.1393.PP.1002062.861"),"(kliknij lub Ctrl+kliknij)")</f>
        <v>(kliknij lub Ctrl+kliknij)</v>
      </c>
      <c r="H212" s="0" t="s">
        <v>599</v>
      </c>
    </row>
    <row r="213" customFormat="false" ht="12.8" hidden="false" customHeight="false" outlineLevel="0" collapsed="false">
      <c r="A213" s="1" t="s">
        <v>569</v>
      </c>
      <c r="C213" s="3" t="s">
        <v>608</v>
      </c>
      <c r="D213" s="4" t="s">
        <v>571</v>
      </c>
      <c r="F213" s="6" t="s">
        <v>621</v>
      </c>
      <c r="G213" s="7" t="str">
        <f aca="false">HYPERLINK(CONCATENATE("http://crfop.gdos.gov.pl/CRFOP/widok/viewpomnikprzyrody.jsf?fop=","PL.ZIPOP.1393.PP.1002072.882"),"(kliknij lub Ctrl+kliknij)")</f>
        <v>(kliknij lub Ctrl+kliknij)</v>
      </c>
      <c r="H213" s="0" t="s">
        <v>622</v>
      </c>
    </row>
    <row r="214" customFormat="false" ht="12.8" hidden="false" customHeight="false" outlineLevel="0" collapsed="false">
      <c r="A214" s="1" t="s">
        <v>569</v>
      </c>
      <c r="C214" s="3" t="s">
        <v>608</v>
      </c>
      <c r="D214" s="4" t="s">
        <v>571</v>
      </c>
      <c r="F214" s="6" t="s">
        <v>621</v>
      </c>
      <c r="G214" s="7" t="str">
        <f aca="false">HYPERLINK(CONCATENATE("http://crfop.gdos.gov.pl/CRFOP/widok/viewpomnikprzyrody.jsf?fop=","PL.ZIPOP.1393.PP.1002072.883"),"(kliknij lub Ctrl+kliknij)")</f>
        <v>(kliknij lub Ctrl+kliknij)</v>
      </c>
      <c r="H214" s="0" t="s">
        <v>622</v>
      </c>
    </row>
    <row r="215" customFormat="false" ht="12.8" hidden="false" customHeight="false" outlineLevel="0" collapsed="false">
      <c r="A215" s="1" t="s">
        <v>569</v>
      </c>
      <c r="B215" s="2" t="s">
        <v>623</v>
      </c>
      <c r="C215" s="3" t="s">
        <v>624</v>
      </c>
      <c r="D215" s="4" t="s">
        <v>571</v>
      </c>
      <c r="F215" s="6" t="s">
        <v>625</v>
      </c>
      <c r="G215" s="7" t="str">
        <f aca="false">HYPERLINK(CONCATENATE("http://crfop.gdos.gov.pl/CRFOP/widok/viewpomnikprzyrody.jsf?fop=","PL.ZIPOP.1393.PP.1002072.884"),"(kliknij lub Ctrl+kliknij)")</f>
        <v>(kliknij lub Ctrl+kliknij)</v>
      </c>
      <c r="H215" s="0" t="s">
        <v>622</v>
      </c>
    </row>
    <row r="216" customFormat="false" ht="12.8" hidden="false" customHeight="false" outlineLevel="0" collapsed="false">
      <c r="A216" s="1" t="s">
        <v>569</v>
      </c>
      <c r="C216" s="3" t="s">
        <v>626</v>
      </c>
      <c r="D216" s="4" t="s">
        <v>571</v>
      </c>
      <c r="F216" s="6" t="s">
        <v>627</v>
      </c>
      <c r="G216" s="7" t="str">
        <f aca="false">HYPERLINK(CONCATENATE("http://crfop.gdos.gov.pl/CRFOP/widok/viewpomnikprzyrody.jsf?fop=","PL.ZIPOP.1393.PP.1002072.885"),"(kliknij lub Ctrl+kliknij)")</f>
        <v>(kliknij lub Ctrl+kliknij)</v>
      </c>
      <c r="H216" s="0" t="s">
        <v>622</v>
      </c>
    </row>
    <row r="217" customFormat="false" ht="12.8" hidden="false" customHeight="false" outlineLevel="0" collapsed="false">
      <c r="A217" s="1" t="s">
        <v>569</v>
      </c>
      <c r="C217" s="3" t="s">
        <v>626</v>
      </c>
      <c r="D217" s="4" t="s">
        <v>571</v>
      </c>
      <c r="F217" s="6" t="s">
        <v>627</v>
      </c>
      <c r="G217" s="7" t="str">
        <f aca="false">HYPERLINK(CONCATENATE("http://crfop.gdos.gov.pl/CRFOP/widok/viewpomnikprzyrody.jsf?fop=","PL.ZIPOP.1393.PP.1002072.886"),"(kliknij lub Ctrl+kliknij)")</f>
        <v>(kliknij lub Ctrl+kliknij)</v>
      </c>
      <c r="H217" s="0" t="s">
        <v>622</v>
      </c>
    </row>
    <row r="218" customFormat="false" ht="12.8" hidden="false" customHeight="false" outlineLevel="0" collapsed="false">
      <c r="A218" s="1" t="s">
        <v>569</v>
      </c>
      <c r="C218" s="3" t="s">
        <v>608</v>
      </c>
      <c r="D218" s="4" t="s">
        <v>571</v>
      </c>
      <c r="F218" s="6" t="s">
        <v>628</v>
      </c>
      <c r="G218" s="7" t="str">
        <f aca="false">HYPERLINK(CONCATENATE("http://crfop.gdos.gov.pl/CRFOP/widok/viewpomnikprzyrody.jsf?fop=","PL.ZIPOP.1393.PP.1002082.894"),"(kliknij lub Ctrl+kliknij)")</f>
        <v>(kliknij lub Ctrl+kliknij)</v>
      </c>
      <c r="H218" s="0" t="s">
        <v>629</v>
      </c>
    </row>
    <row r="219" customFormat="false" ht="12.8" hidden="false" customHeight="false" outlineLevel="0" collapsed="false">
      <c r="A219" s="1" t="s">
        <v>569</v>
      </c>
      <c r="C219" s="3" t="s">
        <v>608</v>
      </c>
      <c r="D219" s="4" t="s">
        <v>571</v>
      </c>
      <c r="F219" s="6" t="s">
        <v>630</v>
      </c>
      <c r="G219" s="7" t="str">
        <f aca="false">HYPERLINK(CONCATENATE("http://crfop.gdos.gov.pl/CRFOP/widok/viewpomnikprzyrody.jsf?fop=","PL.ZIPOP.1393.PP.1002082.897"),"(kliknij lub Ctrl+kliknij)")</f>
        <v>(kliknij lub Ctrl+kliknij)</v>
      </c>
      <c r="H219" s="0" t="s">
        <v>629</v>
      </c>
    </row>
    <row r="220" customFormat="false" ht="12.8" hidden="false" customHeight="false" outlineLevel="0" collapsed="false">
      <c r="A220" s="1" t="s">
        <v>569</v>
      </c>
      <c r="C220" s="3" t="s">
        <v>608</v>
      </c>
      <c r="D220" s="4" t="s">
        <v>571</v>
      </c>
      <c r="F220" s="6" t="s">
        <v>630</v>
      </c>
      <c r="G220" s="7" t="str">
        <f aca="false">HYPERLINK(CONCATENATE("http://crfop.gdos.gov.pl/CRFOP/widok/viewpomnikprzyrody.jsf?fop=","PL.ZIPOP.1393.PP.1002082.898"),"(kliknij lub Ctrl+kliknij)")</f>
        <v>(kliknij lub Ctrl+kliknij)</v>
      </c>
      <c r="H220" s="0" t="s">
        <v>629</v>
      </c>
    </row>
    <row r="221" customFormat="false" ht="12.8" hidden="false" customHeight="false" outlineLevel="0" collapsed="false">
      <c r="A221" s="1" t="s">
        <v>569</v>
      </c>
      <c r="C221" s="3" t="s">
        <v>608</v>
      </c>
      <c r="D221" s="4" t="s">
        <v>571</v>
      </c>
      <c r="F221" s="6" t="s">
        <v>630</v>
      </c>
      <c r="G221" s="7" t="str">
        <f aca="false">HYPERLINK(CONCATENATE("http://crfop.gdos.gov.pl/CRFOP/widok/viewpomnikprzyrody.jsf?fop=","PL.ZIPOP.1393.PP.1002082.899"),"(kliknij lub Ctrl+kliknij)")</f>
        <v>(kliknij lub Ctrl+kliknij)</v>
      </c>
      <c r="H221" s="0" t="s">
        <v>629</v>
      </c>
    </row>
    <row r="222" customFormat="false" ht="12.8" hidden="false" customHeight="false" outlineLevel="0" collapsed="false">
      <c r="A222" s="1" t="s">
        <v>569</v>
      </c>
      <c r="C222" s="3" t="s">
        <v>608</v>
      </c>
      <c r="D222" s="4" t="s">
        <v>571</v>
      </c>
      <c r="F222" s="6" t="s">
        <v>630</v>
      </c>
      <c r="G222" s="7" t="str">
        <f aca="false">HYPERLINK(CONCATENATE("http://crfop.gdos.gov.pl/CRFOP/widok/viewpomnikprzyrody.jsf?fop=","PL.ZIPOP.1393.PP.1002082.900"),"(kliknij lub Ctrl+kliknij)")</f>
        <v>(kliknij lub Ctrl+kliknij)</v>
      </c>
      <c r="H222" s="0" t="s">
        <v>629</v>
      </c>
    </row>
    <row r="223" customFormat="false" ht="12.8" hidden="false" customHeight="false" outlineLevel="0" collapsed="false">
      <c r="A223" s="1" t="s">
        <v>569</v>
      </c>
      <c r="C223" s="3" t="s">
        <v>608</v>
      </c>
      <c r="D223" s="4" t="s">
        <v>571</v>
      </c>
      <c r="F223" s="6" t="s">
        <v>631</v>
      </c>
      <c r="G223" s="7" t="str">
        <f aca="false">HYPERLINK(CONCATENATE("http://crfop.gdos.gov.pl/CRFOP/widok/viewpomnikprzyrody.jsf?fop=","PL.ZIPOP.1393.PP.1002092.870"),"(kliknij lub Ctrl+kliknij)")</f>
        <v>(kliknij lub Ctrl+kliknij)</v>
      </c>
      <c r="H223" s="0" t="s">
        <v>632</v>
      </c>
    </row>
    <row r="224" customFormat="false" ht="12.8" hidden="false" customHeight="false" outlineLevel="0" collapsed="false">
      <c r="A224" s="1" t="s">
        <v>569</v>
      </c>
      <c r="C224" s="3" t="s">
        <v>608</v>
      </c>
      <c r="D224" s="4" t="s">
        <v>571</v>
      </c>
      <c r="F224" s="6" t="s">
        <v>631</v>
      </c>
      <c r="G224" s="7" t="str">
        <f aca="false">HYPERLINK(CONCATENATE("http://crfop.gdos.gov.pl/CRFOP/widok/viewpomnikprzyrody.jsf?fop=","PL.ZIPOP.1393.PP.1002092.872"),"(kliknij lub Ctrl+kliknij)")</f>
        <v>(kliknij lub Ctrl+kliknij)</v>
      </c>
      <c r="H224" s="0" t="s">
        <v>632</v>
      </c>
    </row>
    <row r="225" customFormat="false" ht="12.8" hidden="false" customHeight="false" outlineLevel="0" collapsed="false">
      <c r="A225" s="1" t="s">
        <v>569</v>
      </c>
      <c r="C225" s="3" t="s">
        <v>633</v>
      </c>
      <c r="D225" s="4" t="s">
        <v>571</v>
      </c>
      <c r="F225" s="6" t="s">
        <v>634</v>
      </c>
      <c r="G225" s="7" t="str">
        <f aca="false">HYPERLINK(CONCATENATE("http://crfop.gdos.gov.pl/CRFOP/widok/viewpomnikprzyrody.jsf?fop=","PL.ZIPOP.1393.PP.1002092.873"),"(kliknij lub Ctrl+kliknij)")</f>
        <v>(kliknij lub Ctrl+kliknij)</v>
      </c>
      <c r="H225" s="0" t="s">
        <v>632</v>
      </c>
    </row>
    <row r="226" customFormat="false" ht="12.8" hidden="false" customHeight="false" outlineLevel="0" collapsed="false">
      <c r="A226" s="1" t="s">
        <v>569</v>
      </c>
      <c r="C226" s="3" t="s">
        <v>633</v>
      </c>
      <c r="D226" s="4" t="s">
        <v>571</v>
      </c>
      <c r="F226" s="6" t="s">
        <v>634</v>
      </c>
      <c r="G226" s="7" t="str">
        <f aca="false">HYPERLINK(CONCATENATE("http://crfop.gdos.gov.pl/CRFOP/widok/viewpomnikprzyrody.jsf?fop=","PL.ZIPOP.1393.PP.1002092.874"),"(kliknij lub Ctrl+kliknij)")</f>
        <v>(kliknij lub Ctrl+kliknij)</v>
      </c>
      <c r="H226" s="0" t="s">
        <v>632</v>
      </c>
    </row>
    <row r="227" customFormat="false" ht="12.8" hidden="false" customHeight="false" outlineLevel="0" collapsed="false">
      <c r="A227" s="1" t="s">
        <v>569</v>
      </c>
      <c r="C227" s="3" t="s">
        <v>608</v>
      </c>
      <c r="D227" s="4" t="s">
        <v>571</v>
      </c>
      <c r="F227" s="6" t="s">
        <v>635</v>
      </c>
      <c r="G227" s="7" t="str">
        <f aca="false">HYPERLINK(CONCATENATE("http://crfop.gdos.gov.pl/CRFOP/widok/viewpomnikprzyrody.jsf?fop=","PL.ZIPOP.1393.PP.1002092.876"),"(kliknij lub Ctrl+kliknij)")</f>
        <v>(kliknij lub Ctrl+kliknij)</v>
      </c>
      <c r="H227" s="0" t="s">
        <v>632</v>
      </c>
    </row>
    <row r="228" customFormat="false" ht="12.8" hidden="false" customHeight="false" outlineLevel="0" collapsed="false">
      <c r="A228" s="1" t="s">
        <v>569</v>
      </c>
      <c r="C228" s="3" t="s">
        <v>608</v>
      </c>
      <c r="D228" s="4" t="s">
        <v>571</v>
      </c>
      <c r="F228" s="6" t="s">
        <v>636</v>
      </c>
      <c r="G228" s="7" t="str">
        <f aca="false">HYPERLINK(CONCATENATE("http://crfop.gdos.gov.pl/CRFOP/widok/viewpomnikprzyrody.jsf?fop=","PL.ZIPOP.1393.PP.1002113.877"),"(kliknij lub Ctrl+kliknij)")</f>
        <v>(kliknij lub Ctrl+kliknij)</v>
      </c>
      <c r="H228" s="0" t="s">
        <v>637</v>
      </c>
    </row>
    <row r="229" customFormat="false" ht="12.8" hidden="false" customHeight="false" outlineLevel="0" collapsed="false">
      <c r="A229" s="1" t="s">
        <v>569</v>
      </c>
      <c r="B229" s="2" t="s">
        <v>638</v>
      </c>
      <c r="C229" s="3" t="s">
        <v>624</v>
      </c>
      <c r="D229" s="4" t="s">
        <v>571</v>
      </c>
      <c r="F229" s="6" t="s">
        <v>639</v>
      </c>
      <c r="G229" s="7" t="str">
        <f aca="false">HYPERLINK(CONCATENATE("http://crfop.gdos.gov.pl/CRFOP/widok/viewpomnikprzyrody.jsf?fop=","PL.ZIPOP.1393.PP.1002113.879"),"(kliknij lub Ctrl+kliknij)")</f>
        <v>(kliknij lub Ctrl+kliknij)</v>
      </c>
      <c r="H229" s="0" t="s">
        <v>637</v>
      </c>
    </row>
    <row r="230" customFormat="false" ht="12.8" hidden="false" customHeight="false" outlineLevel="0" collapsed="false">
      <c r="A230" s="1" t="s">
        <v>569</v>
      </c>
      <c r="C230" s="3" t="s">
        <v>610</v>
      </c>
      <c r="D230" s="4" t="s">
        <v>571</v>
      </c>
      <c r="F230" s="6" t="s">
        <v>611</v>
      </c>
      <c r="G230" s="7" t="str">
        <f aca="false">HYPERLINK(CONCATENATE("http://crfop.gdos.gov.pl/CRFOP/widok/viewpomnikprzyrody.jsf?fop=","PL.ZIPOP.1393.PP.1002113.881"),"(kliknij lub Ctrl+kliknij)")</f>
        <v>(kliknij lub Ctrl+kliknij)</v>
      </c>
      <c r="H230" s="0" t="s">
        <v>637</v>
      </c>
    </row>
    <row r="231" customFormat="false" ht="12.8" hidden="false" customHeight="false" outlineLevel="0" collapsed="false">
      <c r="A231" s="1" t="s">
        <v>569</v>
      </c>
      <c r="C231" s="3" t="s">
        <v>640</v>
      </c>
      <c r="D231" s="4" t="s">
        <v>571</v>
      </c>
      <c r="F231" s="6" t="s">
        <v>445</v>
      </c>
      <c r="G231" s="7" t="str">
        <f aca="false">HYPERLINK(CONCATENATE("http://crfop.gdos.gov.pl/CRFOP/widok/viewpomnikprzyrody.jsf?fop=","PL.ZIPOP.1393.PP.1003012.2343"),"(kliknij lub Ctrl+kliknij)")</f>
        <v>(kliknij lub Ctrl+kliknij)</v>
      </c>
      <c r="H231" s="0" t="s">
        <v>641</v>
      </c>
    </row>
    <row r="232" customFormat="false" ht="12.8" hidden="false" customHeight="false" outlineLevel="0" collapsed="false">
      <c r="A232" s="1" t="s">
        <v>569</v>
      </c>
      <c r="C232" s="3" t="s">
        <v>584</v>
      </c>
      <c r="D232" s="4" t="s">
        <v>571</v>
      </c>
      <c r="F232" s="6" t="s">
        <v>585</v>
      </c>
      <c r="G232" s="7" t="str">
        <f aca="false">HYPERLINK(CONCATENATE("http://crfop.gdos.gov.pl/CRFOP/widok/viewpomnikprzyrody.jsf?fop=","PL.ZIPOP.1393.PP.1003012.2344"),"(kliknij lub Ctrl+kliknij)")</f>
        <v>(kliknij lub Ctrl+kliknij)</v>
      </c>
      <c r="H232" s="0" t="s">
        <v>641</v>
      </c>
    </row>
    <row r="233" customFormat="false" ht="12.8" hidden="false" customHeight="false" outlineLevel="0" collapsed="false">
      <c r="A233" s="1" t="s">
        <v>569</v>
      </c>
      <c r="C233" s="3" t="s">
        <v>584</v>
      </c>
      <c r="D233" s="4" t="s">
        <v>571</v>
      </c>
      <c r="F233" s="6" t="s">
        <v>585</v>
      </c>
      <c r="G233" s="7" t="str">
        <f aca="false">HYPERLINK(CONCATENATE("http://crfop.gdos.gov.pl/CRFOP/widok/viewpomnikprzyrody.jsf?fop=","PL.ZIPOP.1393.PP.1003012.2345"),"(kliknij lub Ctrl+kliknij)")</f>
        <v>(kliknij lub Ctrl+kliknij)</v>
      </c>
      <c r="H233" s="0" t="s">
        <v>641</v>
      </c>
    </row>
    <row r="234" customFormat="false" ht="12.8" hidden="false" customHeight="false" outlineLevel="0" collapsed="false">
      <c r="A234" s="1" t="s">
        <v>569</v>
      </c>
      <c r="C234" s="3" t="s">
        <v>584</v>
      </c>
      <c r="D234" s="4" t="s">
        <v>571</v>
      </c>
      <c r="F234" s="6" t="s">
        <v>585</v>
      </c>
      <c r="G234" s="7" t="str">
        <f aca="false">HYPERLINK(CONCATENATE("http://crfop.gdos.gov.pl/CRFOP/widok/viewpomnikprzyrody.jsf?fop=","PL.ZIPOP.1393.PP.1003012.2346"),"(kliknij lub Ctrl+kliknij)")</f>
        <v>(kliknij lub Ctrl+kliknij)</v>
      </c>
      <c r="H234" s="0" t="s">
        <v>641</v>
      </c>
    </row>
    <row r="235" customFormat="false" ht="12.8" hidden="false" customHeight="false" outlineLevel="0" collapsed="false">
      <c r="A235" s="1" t="s">
        <v>569</v>
      </c>
      <c r="C235" s="3" t="s">
        <v>584</v>
      </c>
      <c r="D235" s="4" t="s">
        <v>571</v>
      </c>
      <c r="F235" s="6" t="s">
        <v>585</v>
      </c>
      <c r="G235" s="7" t="str">
        <f aca="false">HYPERLINK(CONCATENATE("http://crfop.gdos.gov.pl/CRFOP/widok/viewpomnikprzyrody.jsf?fop=","PL.ZIPOP.1393.PP.1003012.2347"),"(kliknij lub Ctrl+kliknij)")</f>
        <v>(kliknij lub Ctrl+kliknij)</v>
      </c>
      <c r="H235" s="0" t="s">
        <v>641</v>
      </c>
    </row>
    <row r="236" customFormat="false" ht="12.8" hidden="false" customHeight="false" outlineLevel="0" collapsed="false">
      <c r="A236" s="1" t="s">
        <v>569</v>
      </c>
      <c r="C236" s="3" t="s">
        <v>584</v>
      </c>
      <c r="D236" s="4" t="s">
        <v>571</v>
      </c>
      <c r="F236" s="6" t="s">
        <v>585</v>
      </c>
      <c r="G236" s="7" t="str">
        <f aca="false">HYPERLINK(CONCATENATE("http://crfop.gdos.gov.pl/CRFOP/widok/viewpomnikprzyrody.jsf?fop=","PL.ZIPOP.1393.PP.1003012.2348"),"(kliknij lub Ctrl+kliknij)")</f>
        <v>(kliknij lub Ctrl+kliknij)</v>
      </c>
      <c r="H236" s="0" t="s">
        <v>641</v>
      </c>
    </row>
    <row r="237" customFormat="false" ht="12.8" hidden="false" customHeight="false" outlineLevel="0" collapsed="false">
      <c r="A237" s="1" t="s">
        <v>569</v>
      </c>
      <c r="C237" s="3" t="s">
        <v>584</v>
      </c>
      <c r="D237" s="4" t="s">
        <v>571</v>
      </c>
      <c r="F237" s="6" t="s">
        <v>585</v>
      </c>
      <c r="G237" s="7" t="str">
        <f aca="false">HYPERLINK(CONCATENATE("http://crfop.gdos.gov.pl/CRFOP/widok/viewpomnikprzyrody.jsf?fop=","PL.ZIPOP.1393.PP.1003012.2349"),"(kliknij lub Ctrl+kliknij)")</f>
        <v>(kliknij lub Ctrl+kliknij)</v>
      </c>
      <c r="H237" s="0" t="s">
        <v>641</v>
      </c>
    </row>
    <row r="238" customFormat="false" ht="12.8" hidden="false" customHeight="false" outlineLevel="0" collapsed="false">
      <c r="A238" s="1" t="s">
        <v>569</v>
      </c>
      <c r="C238" s="3" t="s">
        <v>584</v>
      </c>
      <c r="D238" s="4" t="s">
        <v>571</v>
      </c>
      <c r="F238" s="6" t="s">
        <v>585</v>
      </c>
      <c r="G238" s="7" t="str">
        <f aca="false">HYPERLINK(CONCATENATE("http://crfop.gdos.gov.pl/CRFOP/widok/viewpomnikprzyrody.jsf?fop=","PL.ZIPOP.1393.PP.1003012.2350"),"(kliknij lub Ctrl+kliknij)")</f>
        <v>(kliknij lub Ctrl+kliknij)</v>
      </c>
      <c r="H238" s="0" t="s">
        <v>641</v>
      </c>
    </row>
    <row r="239" customFormat="false" ht="12.8" hidden="false" customHeight="false" outlineLevel="0" collapsed="false">
      <c r="A239" s="1" t="s">
        <v>569</v>
      </c>
      <c r="C239" s="3" t="s">
        <v>584</v>
      </c>
      <c r="D239" s="4" t="s">
        <v>571</v>
      </c>
      <c r="F239" s="6" t="s">
        <v>585</v>
      </c>
      <c r="G239" s="7" t="str">
        <f aca="false">HYPERLINK(CONCATENATE("http://crfop.gdos.gov.pl/CRFOP/widok/viewpomnikprzyrody.jsf?fop=","PL.ZIPOP.1393.PP.1003012.2351"),"(kliknij lub Ctrl+kliknij)")</f>
        <v>(kliknij lub Ctrl+kliknij)</v>
      </c>
      <c r="H239" s="0" t="s">
        <v>641</v>
      </c>
    </row>
    <row r="240" customFormat="false" ht="12.8" hidden="false" customHeight="false" outlineLevel="0" collapsed="false">
      <c r="A240" s="1" t="s">
        <v>569</v>
      </c>
      <c r="C240" s="3" t="s">
        <v>584</v>
      </c>
      <c r="D240" s="4" t="s">
        <v>571</v>
      </c>
      <c r="F240" s="6" t="s">
        <v>585</v>
      </c>
      <c r="G240" s="7" t="str">
        <f aca="false">HYPERLINK(CONCATENATE("http://crfop.gdos.gov.pl/CRFOP/widok/viewpomnikprzyrody.jsf?fop=","PL.ZIPOP.1393.PP.1003012.2352"),"(kliknij lub Ctrl+kliknij)")</f>
        <v>(kliknij lub Ctrl+kliknij)</v>
      </c>
      <c r="H240" s="0" t="s">
        <v>641</v>
      </c>
    </row>
    <row r="241" customFormat="false" ht="12.8" hidden="false" customHeight="false" outlineLevel="0" collapsed="false">
      <c r="A241" s="1" t="s">
        <v>569</v>
      </c>
      <c r="C241" s="3" t="s">
        <v>584</v>
      </c>
      <c r="D241" s="4" t="s">
        <v>571</v>
      </c>
      <c r="F241" s="6" t="s">
        <v>585</v>
      </c>
      <c r="G241" s="7" t="str">
        <f aca="false">HYPERLINK(CONCATENATE("http://crfop.gdos.gov.pl/CRFOP/widok/viewpomnikprzyrody.jsf?fop=","PL.ZIPOP.1393.PP.1003012.2353"),"(kliknij lub Ctrl+kliknij)")</f>
        <v>(kliknij lub Ctrl+kliknij)</v>
      </c>
      <c r="H241" s="0" t="s">
        <v>641</v>
      </c>
    </row>
    <row r="242" customFormat="false" ht="12.8" hidden="false" customHeight="false" outlineLevel="0" collapsed="false">
      <c r="A242" s="1" t="s">
        <v>569</v>
      </c>
      <c r="C242" s="3" t="s">
        <v>584</v>
      </c>
      <c r="D242" s="4" t="s">
        <v>571</v>
      </c>
      <c r="F242" s="6" t="s">
        <v>585</v>
      </c>
      <c r="G242" s="7" t="str">
        <f aca="false">HYPERLINK(CONCATENATE("http://crfop.gdos.gov.pl/CRFOP/widok/viewpomnikprzyrody.jsf?fop=","PL.ZIPOP.1393.PP.1003012.2354"),"(kliknij lub Ctrl+kliknij)")</f>
        <v>(kliknij lub Ctrl+kliknij)</v>
      </c>
      <c r="H242" s="0" t="s">
        <v>641</v>
      </c>
    </row>
    <row r="243" customFormat="false" ht="12.8" hidden="false" customHeight="false" outlineLevel="0" collapsed="false">
      <c r="A243" s="1" t="s">
        <v>569</v>
      </c>
      <c r="C243" s="3" t="s">
        <v>584</v>
      </c>
      <c r="D243" s="4" t="s">
        <v>571</v>
      </c>
      <c r="F243" s="6" t="s">
        <v>585</v>
      </c>
      <c r="G243" s="7" t="str">
        <f aca="false">HYPERLINK(CONCATENATE("http://crfop.gdos.gov.pl/CRFOP/widok/viewpomnikprzyrody.jsf?fop=","PL.ZIPOP.1393.PP.1003012.2355"),"(kliknij lub Ctrl+kliknij)")</f>
        <v>(kliknij lub Ctrl+kliknij)</v>
      </c>
      <c r="H243" s="0" t="s">
        <v>641</v>
      </c>
    </row>
    <row r="244" customFormat="false" ht="12.8" hidden="false" customHeight="false" outlineLevel="0" collapsed="false">
      <c r="A244" s="1" t="s">
        <v>569</v>
      </c>
      <c r="C244" s="3" t="s">
        <v>584</v>
      </c>
      <c r="D244" s="4" t="s">
        <v>571</v>
      </c>
      <c r="F244" s="6" t="s">
        <v>585</v>
      </c>
      <c r="G244" s="7" t="str">
        <f aca="false">HYPERLINK(CONCATENATE("http://crfop.gdos.gov.pl/CRFOP/widok/viewpomnikprzyrody.jsf?fop=","PL.ZIPOP.1393.PP.1003012.2356"),"(kliknij lub Ctrl+kliknij)")</f>
        <v>(kliknij lub Ctrl+kliknij)</v>
      </c>
      <c r="H244" s="0" t="s">
        <v>641</v>
      </c>
    </row>
    <row r="245" customFormat="false" ht="12.8" hidden="false" customHeight="false" outlineLevel="0" collapsed="false">
      <c r="A245" s="1" t="s">
        <v>569</v>
      </c>
      <c r="C245" s="3" t="s">
        <v>584</v>
      </c>
      <c r="D245" s="4" t="s">
        <v>571</v>
      </c>
      <c r="F245" s="6" t="s">
        <v>585</v>
      </c>
      <c r="G245" s="7" t="str">
        <f aca="false">HYPERLINK(CONCATENATE("http://crfop.gdos.gov.pl/CRFOP/widok/viewpomnikprzyrody.jsf?fop=","PL.ZIPOP.1393.PP.1003023.2306"),"(kliknij lub Ctrl+kliknij)")</f>
        <v>(kliknij lub Ctrl+kliknij)</v>
      </c>
      <c r="H245" s="0" t="s">
        <v>642</v>
      </c>
    </row>
    <row r="246" customFormat="false" ht="12.8" hidden="false" customHeight="false" outlineLevel="0" collapsed="false">
      <c r="A246" s="1" t="s">
        <v>569</v>
      </c>
      <c r="C246" s="3" t="s">
        <v>584</v>
      </c>
      <c r="D246" s="4" t="s">
        <v>571</v>
      </c>
      <c r="F246" s="6" t="s">
        <v>585</v>
      </c>
      <c r="G246" s="7" t="str">
        <f aca="false">HYPERLINK(CONCATENATE("http://crfop.gdos.gov.pl/CRFOP/widok/viewpomnikprzyrody.jsf?fop=","PL.ZIPOP.1393.PP.1003023.2307"),"(kliknij lub Ctrl+kliknij)")</f>
        <v>(kliknij lub Ctrl+kliknij)</v>
      </c>
      <c r="H246" s="0" t="s">
        <v>642</v>
      </c>
    </row>
    <row r="247" customFormat="false" ht="12.8" hidden="false" customHeight="false" outlineLevel="0" collapsed="false">
      <c r="A247" s="1" t="s">
        <v>569</v>
      </c>
      <c r="C247" s="3" t="s">
        <v>584</v>
      </c>
      <c r="D247" s="4" t="s">
        <v>571</v>
      </c>
      <c r="F247" s="6" t="s">
        <v>585</v>
      </c>
      <c r="G247" s="7" t="str">
        <f aca="false">HYPERLINK(CONCATENATE("http://crfop.gdos.gov.pl/CRFOP/widok/viewpomnikprzyrody.jsf?fop=","PL.ZIPOP.1393.PP.1003023.2308"),"(kliknij lub Ctrl+kliknij)")</f>
        <v>(kliknij lub Ctrl+kliknij)</v>
      </c>
      <c r="H247" s="0" t="s">
        <v>642</v>
      </c>
    </row>
    <row r="248" customFormat="false" ht="12.8" hidden="false" customHeight="false" outlineLevel="0" collapsed="false">
      <c r="A248" s="1" t="s">
        <v>569</v>
      </c>
      <c r="C248" s="3" t="s">
        <v>584</v>
      </c>
      <c r="D248" s="4" t="s">
        <v>571</v>
      </c>
      <c r="F248" s="6" t="s">
        <v>585</v>
      </c>
      <c r="G248" s="7" t="str">
        <f aca="false">HYPERLINK(CONCATENATE("http://crfop.gdos.gov.pl/CRFOP/widok/viewpomnikprzyrody.jsf?fop=","PL.ZIPOP.1393.PP.1003023.2309"),"(kliknij lub Ctrl+kliknij)")</f>
        <v>(kliknij lub Ctrl+kliknij)</v>
      </c>
      <c r="H248" s="0" t="s">
        <v>642</v>
      </c>
    </row>
    <row r="249" customFormat="false" ht="12.8" hidden="false" customHeight="false" outlineLevel="0" collapsed="false">
      <c r="A249" s="1" t="s">
        <v>569</v>
      </c>
      <c r="C249" s="3" t="s">
        <v>584</v>
      </c>
      <c r="D249" s="4" t="s">
        <v>571</v>
      </c>
      <c r="F249" s="6" t="s">
        <v>585</v>
      </c>
      <c r="G249" s="7" t="str">
        <f aca="false">HYPERLINK(CONCATENATE("http://crfop.gdos.gov.pl/CRFOP/widok/viewpomnikprzyrody.jsf?fop=","PL.ZIPOP.1393.PP.1003023.2310"),"(kliknij lub Ctrl+kliknij)")</f>
        <v>(kliknij lub Ctrl+kliknij)</v>
      </c>
      <c r="H249" s="0" t="s">
        <v>642</v>
      </c>
    </row>
    <row r="250" customFormat="false" ht="12.8" hidden="false" customHeight="false" outlineLevel="0" collapsed="false">
      <c r="A250" s="1" t="s">
        <v>569</v>
      </c>
      <c r="C250" s="3" t="s">
        <v>584</v>
      </c>
      <c r="D250" s="4" t="s">
        <v>571</v>
      </c>
      <c r="F250" s="6" t="s">
        <v>585</v>
      </c>
      <c r="G250" s="7" t="str">
        <f aca="false">HYPERLINK(CONCATENATE("http://crfop.gdos.gov.pl/CRFOP/widok/viewpomnikprzyrody.jsf?fop=","PL.ZIPOP.1393.PP.1003023.2311"),"(kliknij lub Ctrl+kliknij)")</f>
        <v>(kliknij lub Ctrl+kliknij)</v>
      </c>
      <c r="H250" s="0" t="s">
        <v>642</v>
      </c>
    </row>
    <row r="251" customFormat="false" ht="12.8" hidden="false" customHeight="false" outlineLevel="0" collapsed="false">
      <c r="A251" s="1" t="s">
        <v>569</v>
      </c>
      <c r="C251" s="3" t="s">
        <v>584</v>
      </c>
      <c r="D251" s="4" t="s">
        <v>571</v>
      </c>
      <c r="F251" s="6" t="s">
        <v>585</v>
      </c>
      <c r="G251" s="7" t="str">
        <f aca="false">HYPERLINK(CONCATENATE("http://crfop.gdos.gov.pl/CRFOP/widok/viewpomnikprzyrody.jsf?fop=","PL.ZIPOP.1393.PP.1003023.2312"),"(kliknij lub Ctrl+kliknij)")</f>
        <v>(kliknij lub Ctrl+kliknij)</v>
      </c>
      <c r="H251" s="0" t="s">
        <v>642</v>
      </c>
    </row>
    <row r="252" customFormat="false" ht="12.8" hidden="false" customHeight="false" outlineLevel="0" collapsed="false">
      <c r="A252" s="1" t="s">
        <v>569</v>
      </c>
      <c r="C252" s="3" t="s">
        <v>584</v>
      </c>
      <c r="D252" s="4" t="s">
        <v>571</v>
      </c>
      <c r="F252" s="6" t="s">
        <v>585</v>
      </c>
      <c r="G252" s="7" t="str">
        <f aca="false">HYPERLINK(CONCATENATE("http://crfop.gdos.gov.pl/CRFOP/widok/viewpomnikprzyrody.jsf?fop=","PL.ZIPOP.1393.PP.1003023.2313"),"(kliknij lub Ctrl+kliknij)")</f>
        <v>(kliknij lub Ctrl+kliknij)</v>
      </c>
      <c r="H252" s="0" t="s">
        <v>642</v>
      </c>
    </row>
    <row r="253" customFormat="false" ht="12.8" hidden="false" customHeight="false" outlineLevel="0" collapsed="false">
      <c r="A253" s="1" t="s">
        <v>569</v>
      </c>
      <c r="C253" s="3" t="s">
        <v>584</v>
      </c>
      <c r="D253" s="4" t="s">
        <v>571</v>
      </c>
      <c r="F253" s="6" t="s">
        <v>585</v>
      </c>
      <c r="G253" s="7" t="str">
        <f aca="false">HYPERLINK(CONCATENATE("http://crfop.gdos.gov.pl/CRFOP/widok/viewpomnikprzyrody.jsf?fop=","PL.ZIPOP.1393.PP.1003023.2314"),"(kliknij lub Ctrl+kliknij)")</f>
        <v>(kliknij lub Ctrl+kliknij)</v>
      </c>
      <c r="H253" s="0" t="s">
        <v>642</v>
      </c>
    </row>
    <row r="254" customFormat="false" ht="12.8" hidden="false" customHeight="false" outlineLevel="0" collapsed="false">
      <c r="A254" s="1" t="s">
        <v>569</v>
      </c>
      <c r="C254" s="3" t="s">
        <v>584</v>
      </c>
      <c r="D254" s="4" t="s">
        <v>571</v>
      </c>
      <c r="F254" s="6" t="s">
        <v>585</v>
      </c>
      <c r="G254" s="7" t="str">
        <f aca="false">HYPERLINK(CONCATENATE("http://crfop.gdos.gov.pl/CRFOP/widok/viewpomnikprzyrody.jsf?fop=","PL.ZIPOP.1393.PP.1003023.2315"),"(kliknij lub Ctrl+kliknij)")</f>
        <v>(kliknij lub Ctrl+kliknij)</v>
      </c>
      <c r="H254" s="0" t="s">
        <v>642</v>
      </c>
    </row>
    <row r="255" customFormat="false" ht="12.8" hidden="false" customHeight="false" outlineLevel="0" collapsed="false">
      <c r="A255" s="1" t="s">
        <v>569</v>
      </c>
      <c r="C255" s="3" t="s">
        <v>584</v>
      </c>
      <c r="D255" s="4" t="s">
        <v>571</v>
      </c>
      <c r="F255" s="6" t="s">
        <v>585</v>
      </c>
      <c r="G255" s="7" t="str">
        <f aca="false">HYPERLINK(CONCATENATE("http://crfop.gdos.gov.pl/CRFOP/widok/viewpomnikprzyrody.jsf?fop=","PL.ZIPOP.1393.PP.1003023.2317"),"(kliknij lub Ctrl+kliknij)")</f>
        <v>(kliknij lub Ctrl+kliknij)</v>
      </c>
      <c r="H255" s="0" t="s">
        <v>642</v>
      </c>
    </row>
    <row r="256" customFormat="false" ht="12.8" hidden="false" customHeight="false" outlineLevel="0" collapsed="false">
      <c r="A256" s="1" t="s">
        <v>569</v>
      </c>
      <c r="C256" s="3" t="s">
        <v>584</v>
      </c>
      <c r="D256" s="4" t="s">
        <v>571</v>
      </c>
      <c r="F256" s="6" t="s">
        <v>585</v>
      </c>
      <c r="G256" s="7" t="str">
        <f aca="false">HYPERLINK(CONCATENATE("http://crfop.gdos.gov.pl/CRFOP/widok/viewpomnikprzyrody.jsf?fop=","PL.ZIPOP.1393.PP.1003023.2318"),"(kliknij lub Ctrl+kliknij)")</f>
        <v>(kliknij lub Ctrl+kliknij)</v>
      </c>
      <c r="H256" s="0" t="s">
        <v>642</v>
      </c>
    </row>
    <row r="257" customFormat="false" ht="12.8" hidden="false" customHeight="false" outlineLevel="0" collapsed="false">
      <c r="A257" s="1" t="s">
        <v>569</v>
      </c>
      <c r="C257" s="3" t="s">
        <v>643</v>
      </c>
      <c r="D257" s="4" t="s">
        <v>571</v>
      </c>
      <c r="F257" s="6" t="s">
        <v>445</v>
      </c>
      <c r="G257" s="7" t="str">
        <f aca="false">HYPERLINK(CONCATENATE("http://crfop.gdos.gov.pl/CRFOP/widok/viewpomnikprzyrody.jsf?fop=","PL.ZIPOP.1393.PP.1003023.2319"),"(kliknij lub Ctrl+kliknij)")</f>
        <v>(kliknij lub Ctrl+kliknij)</v>
      </c>
      <c r="H257" s="0" t="s">
        <v>642</v>
      </c>
    </row>
    <row r="258" customFormat="false" ht="12.8" hidden="false" customHeight="false" outlineLevel="0" collapsed="false">
      <c r="A258" s="1" t="s">
        <v>569</v>
      </c>
      <c r="C258" s="3" t="s">
        <v>584</v>
      </c>
      <c r="D258" s="4" t="s">
        <v>571</v>
      </c>
      <c r="F258" s="6" t="s">
        <v>585</v>
      </c>
      <c r="G258" s="7" t="str">
        <f aca="false">HYPERLINK(CONCATENATE("http://crfop.gdos.gov.pl/CRFOP/widok/viewpomnikprzyrody.jsf?fop=","PL.ZIPOP.1393.PP.1003023.2326"),"(kliknij lub Ctrl+kliknij)")</f>
        <v>(kliknij lub Ctrl+kliknij)</v>
      </c>
      <c r="H258" s="0" t="s">
        <v>642</v>
      </c>
    </row>
    <row r="259" customFormat="false" ht="12.8" hidden="false" customHeight="false" outlineLevel="0" collapsed="false">
      <c r="A259" s="1" t="s">
        <v>569</v>
      </c>
      <c r="C259" s="3" t="s">
        <v>584</v>
      </c>
      <c r="D259" s="4" t="s">
        <v>571</v>
      </c>
      <c r="F259" s="6" t="s">
        <v>585</v>
      </c>
      <c r="G259" s="7" t="str">
        <f aca="false">HYPERLINK(CONCATENATE("http://crfop.gdos.gov.pl/CRFOP/widok/viewpomnikprzyrody.jsf?fop=","PL.ZIPOP.1393.PP.1003023.2327"),"(kliknij lub Ctrl+kliknij)")</f>
        <v>(kliknij lub Ctrl+kliknij)</v>
      </c>
      <c r="H259" s="0" t="s">
        <v>642</v>
      </c>
    </row>
    <row r="260" customFormat="false" ht="12.8" hidden="false" customHeight="false" outlineLevel="0" collapsed="false">
      <c r="A260" s="1" t="s">
        <v>569</v>
      </c>
      <c r="C260" s="3" t="s">
        <v>584</v>
      </c>
      <c r="D260" s="4" t="s">
        <v>571</v>
      </c>
      <c r="F260" s="6" t="s">
        <v>585</v>
      </c>
      <c r="G260" s="7" t="str">
        <f aca="false">HYPERLINK(CONCATENATE("http://crfop.gdos.gov.pl/CRFOP/widok/viewpomnikprzyrody.jsf?fop=","PL.ZIPOP.1393.PP.1003023.2328"),"(kliknij lub Ctrl+kliknij)")</f>
        <v>(kliknij lub Ctrl+kliknij)</v>
      </c>
      <c r="H260" s="0" t="s">
        <v>642</v>
      </c>
    </row>
    <row r="261" customFormat="false" ht="12.8" hidden="false" customHeight="false" outlineLevel="0" collapsed="false">
      <c r="A261" s="1" t="s">
        <v>569</v>
      </c>
      <c r="C261" s="3" t="s">
        <v>584</v>
      </c>
      <c r="D261" s="4" t="s">
        <v>571</v>
      </c>
      <c r="F261" s="6" t="s">
        <v>585</v>
      </c>
      <c r="G261" s="7" t="str">
        <f aca="false">HYPERLINK(CONCATENATE("http://crfop.gdos.gov.pl/CRFOP/widok/viewpomnikprzyrody.jsf?fop=","PL.ZIPOP.1393.PP.1003023.2329"),"(kliknij lub Ctrl+kliknij)")</f>
        <v>(kliknij lub Ctrl+kliknij)</v>
      </c>
      <c r="H261" s="0" t="s">
        <v>642</v>
      </c>
    </row>
    <row r="262" customFormat="false" ht="12.8" hidden="false" customHeight="false" outlineLevel="0" collapsed="false">
      <c r="A262" s="1" t="s">
        <v>569</v>
      </c>
      <c r="B262" s="2" t="s">
        <v>644</v>
      </c>
      <c r="C262" s="3" t="s">
        <v>645</v>
      </c>
      <c r="D262" s="4" t="s">
        <v>571</v>
      </c>
      <c r="F262" s="6" t="s">
        <v>646</v>
      </c>
      <c r="G262" s="7" t="str">
        <f aca="false">HYPERLINK(CONCATENATE("http://crfop.gdos.gov.pl/CRFOP/widok/viewpomnikprzyrody.jsf?fop=","PL.ZIPOP.1393.PP.1003023.2331"),"(kliknij lub Ctrl+kliknij)")</f>
        <v>(kliknij lub Ctrl+kliknij)</v>
      </c>
      <c r="H262" s="0" t="s">
        <v>642</v>
      </c>
    </row>
    <row r="263" customFormat="false" ht="12.8" hidden="false" customHeight="false" outlineLevel="0" collapsed="false">
      <c r="A263" s="1" t="s">
        <v>569</v>
      </c>
      <c r="C263" s="3" t="s">
        <v>640</v>
      </c>
      <c r="D263" s="4" t="s">
        <v>571</v>
      </c>
      <c r="F263" s="6" t="s">
        <v>445</v>
      </c>
      <c r="G263" s="7" t="str">
        <f aca="false">HYPERLINK(CONCATENATE("http://crfop.gdos.gov.pl/CRFOP/widok/viewpomnikprzyrody.jsf?fop=","PL.ZIPOP.1393.PP.1003032.2357"),"(kliknij lub Ctrl+kliknij)")</f>
        <v>(kliknij lub Ctrl+kliknij)</v>
      </c>
      <c r="H263" s="0" t="s">
        <v>466</v>
      </c>
    </row>
    <row r="264" customFormat="false" ht="12.8" hidden="false" customHeight="false" outlineLevel="0" collapsed="false">
      <c r="A264" s="1" t="s">
        <v>569</v>
      </c>
      <c r="C264" s="3" t="s">
        <v>584</v>
      </c>
      <c r="D264" s="4" t="s">
        <v>571</v>
      </c>
      <c r="F264" s="6" t="s">
        <v>585</v>
      </c>
      <c r="G264" s="7" t="str">
        <f aca="false">HYPERLINK(CONCATENATE("http://crfop.gdos.gov.pl/CRFOP/widok/viewpomnikprzyrody.jsf?fop=","PL.ZIPOP.1393.PP.1003032.2358"),"(kliknij lub Ctrl+kliknij)")</f>
        <v>(kliknij lub Ctrl+kliknij)</v>
      </c>
      <c r="H264" s="0" t="s">
        <v>466</v>
      </c>
    </row>
    <row r="265" customFormat="false" ht="12.8" hidden="false" customHeight="false" outlineLevel="0" collapsed="false">
      <c r="A265" s="1" t="s">
        <v>569</v>
      </c>
      <c r="C265" s="3" t="s">
        <v>584</v>
      </c>
      <c r="D265" s="4" t="s">
        <v>571</v>
      </c>
      <c r="F265" s="6" t="s">
        <v>585</v>
      </c>
      <c r="G265" s="7" t="str">
        <f aca="false">HYPERLINK(CONCATENATE("http://crfop.gdos.gov.pl/CRFOP/widok/viewpomnikprzyrody.jsf?fop=","PL.ZIPOP.1393.PP.1003032.2359"),"(kliknij lub Ctrl+kliknij)")</f>
        <v>(kliknij lub Ctrl+kliknij)</v>
      </c>
      <c r="H265" s="0" t="s">
        <v>466</v>
      </c>
    </row>
    <row r="266" customFormat="false" ht="12.8" hidden="false" customHeight="false" outlineLevel="0" collapsed="false">
      <c r="A266" s="1" t="s">
        <v>569</v>
      </c>
      <c r="C266" s="3" t="s">
        <v>584</v>
      </c>
      <c r="D266" s="4" t="s">
        <v>571</v>
      </c>
      <c r="F266" s="6" t="s">
        <v>585</v>
      </c>
      <c r="G266" s="7" t="str">
        <f aca="false">HYPERLINK(CONCATENATE("http://crfop.gdos.gov.pl/CRFOP/widok/viewpomnikprzyrody.jsf?fop=","PL.ZIPOP.1393.PP.1003032.2360"),"(kliknij lub Ctrl+kliknij)")</f>
        <v>(kliknij lub Ctrl+kliknij)</v>
      </c>
      <c r="H266" s="0" t="s">
        <v>466</v>
      </c>
    </row>
    <row r="267" customFormat="false" ht="12.8" hidden="false" customHeight="false" outlineLevel="0" collapsed="false">
      <c r="A267" s="1" t="s">
        <v>569</v>
      </c>
      <c r="C267" s="3" t="s">
        <v>584</v>
      </c>
      <c r="D267" s="4" t="s">
        <v>571</v>
      </c>
      <c r="F267" s="6" t="s">
        <v>585</v>
      </c>
      <c r="G267" s="7" t="str">
        <f aca="false">HYPERLINK(CONCATENATE("http://crfop.gdos.gov.pl/CRFOP/widok/viewpomnikprzyrody.jsf?fop=","PL.ZIPOP.1393.PP.1003032.2361"),"(kliknij lub Ctrl+kliknij)")</f>
        <v>(kliknij lub Ctrl+kliknij)</v>
      </c>
      <c r="H267" s="0" t="s">
        <v>466</v>
      </c>
    </row>
    <row r="268" customFormat="false" ht="12.8" hidden="false" customHeight="false" outlineLevel="0" collapsed="false">
      <c r="A268" s="1" t="s">
        <v>569</v>
      </c>
      <c r="C268" s="3" t="s">
        <v>584</v>
      </c>
      <c r="D268" s="4" t="s">
        <v>571</v>
      </c>
      <c r="F268" s="6" t="s">
        <v>585</v>
      </c>
      <c r="G268" s="7" t="str">
        <f aca="false">HYPERLINK(CONCATENATE("http://crfop.gdos.gov.pl/CRFOP/widok/viewpomnikprzyrody.jsf?fop=","PL.ZIPOP.1393.PP.1003032.2362"),"(kliknij lub Ctrl+kliknij)")</f>
        <v>(kliknij lub Ctrl+kliknij)</v>
      </c>
      <c r="H268" s="0" t="s">
        <v>466</v>
      </c>
    </row>
    <row r="269" customFormat="false" ht="12.8" hidden="false" customHeight="false" outlineLevel="0" collapsed="false">
      <c r="A269" s="1" t="s">
        <v>569</v>
      </c>
      <c r="C269" s="3" t="s">
        <v>584</v>
      </c>
      <c r="D269" s="4" t="s">
        <v>571</v>
      </c>
      <c r="F269" s="6" t="s">
        <v>585</v>
      </c>
      <c r="G269" s="7" t="str">
        <f aca="false">HYPERLINK(CONCATENATE("http://crfop.gdos.gov.pl/CRFOP/widok/viewpomnikprzyrody.jsf?fop=","PL.ZIPOP.1393.PP.1003032.2364"),"(kliknij lub Ctrl+kliknij)")</f>
        <v>(kliknij lub Ctrl+kliknij)</v>
      </c>
      <c r="H269" s="0" t="s">
        <v>466</v>
      </c>
    </row>
    <row r="270" customFormat="false" ht="12.8" hidden="false" customHeight="false" outlineLevel="0" collapsed="false">
      <c r="A270" s="1" t="s">
        <v>569</v>
      </c>
      <c r="C270" s="3" t="s">
        <v>584</v>
      </c>
      <c r="D270" s="4" t="s">
        <v>571</v>
      </c>
      <c r="F270" s="6" t="s">
        <v>585</v>
      </c>
      <c r="G270" s="7" t="str">
        <f aca="false">HYPERLINK(CONCATENATE("http://crfop.gdos.gov.pl/CRFOP/widok/viewpomnikprzyrody.jsf?fop=","PL.ZIPOP.1393.PP.1003032.2365"),"(kliknij lub Ctrl+kliknij)")</f>
        <v>(kliknij lub Ctrl+kliknij)</v>
      </c>
      <c r="H270" s="0" t="s">
        <v>466</v>
      </c>
    </row>
    <row r="271" customFormat="false" ht="12.8" hidden="false" customHeight="false" outlineLevel="0" collapsed="false">
      <c r="A271" s="1" t="s">
        <v>569</v>
      </c>
      <c r="C271" s="3" t="s">
        <v>584</v>
      </c>
      <c r="D271" s="4" t="s">
        <v>571</v>
      </c>
      <c r="F271" s="6" t="s">
        <v>585</v>
      </c>
      <c r="G271" s="7" t="str">
        <f aca="false">HYPERLINK(CONCATENATE("http://crfop.gdos.gov.pl/CRFOP/widok/viewpomnikprzyrody.jsf?fop=","PL.ZIPOP.1393.PP.1003032.2366"),"(kliknij lub Ctrl+kliknij)")</f>
        <v>(kliknij lub Ctrl+kliknij)</v>
      </c>
      <c r="H271" s="0" t="s">
        <v>466</v>
      </c>
    </row>
    <row r="272" customFormat="false" ht="12.8" hidden="false" customHeight="false" outlineLevel="0" collapsed="false">
      <c r="A272" s="1" t="s">
        <v>569</v>
      </c>
      <c r="C272" s="3" t="s">
        <v>584</v>
      </c>
      <c r="D272" s="4" t="s">
        <v>571</v>
      </c>
      <c r="F272" s="6" t="s">
        <v>585</v>
      </c>
      <c r="G272" s="7" t="str">
        <f aca="false">HYPERLINK(CONCATENATE("http://crfop.gdos.gov.pl/CRFOP/widok/viewpomnikprzyrody.jsf?fop=","PL.ZIPOP.1393.PP.1003032.2367"),"(kliknij lub Ctrl+kliknij)")</f>
        <v>(kliknij lub Ctrl+kliknij)</v>
      </c>
      <c r="H272" s="0" t="s">
        <v>466</v>
      </c>
    </row>
    <row r="273" customFormat="false" ht="12.8" hidden="false" customHeight="false" outlineLevel="0" collapsed="false">
      <c r="A273" s="1" t="s">
        <v>569</v>
      </c>
      <c r="C273" s="3" t="s">
        <v>584</v>
      </c>
      <c r="D273" s="4" t="s">
        <v>571</v>
      </c>
      <c r="F273" s="6" t="s">
        <v>585</v>
      </c>
      <c r="G273" s="7" t="str">
        <f aca="false">HYPERLINK(CONCATENATE("http://crfop.gdos.gov.pl/CRFOP/widok/viewpomnikprzyrody.jsf?fop=","PL.ZIPOP.1393.PP.1003032.2368"),"(kliknij lub Ctrl+kliknij)")</f>
        <v>(kliknij lub Ctrl+kliknij)</v>
      </c>
      <c r="H273" s="0" t="s">
        <v>466</v>
      </c>
    </row>
    <row r="274" customFormat="false" ht="12.8" hidden="false" customHeight="false" outlineLevel="0" collapsed="false">
      <c r="A274" s="1" t="s">
        <v>569</v>
      </c>
      <c r="C274" s="3" t="s">
        <v>584</v>
      </c>
      <c r="D274" s="4" t="s">
        <v>571</v>
      </c>
      <c r="F274" s="6" t="s">
        <v>585</v>
      </c>
      <c r="G274" s="7" t="str">
        <f aca="false">HYPERLINK(CONCATENATE("http://crfop.gdos.gov.pl/CRFOP/widok/viewpomnikprzyrody.jsf?fop=","PL.ZIPOP.1393.PP.1003032.2369"),"(kliknij lub Ctrl+kliknij)")</f>
        <v>(kliknij lub Ctrl+kliknij)</v>
      </c>
      <c r="H274" s="0" t="s">
        <v>466</v>
      </c>
    </row>
    <row r="275" customFormat="false" ht="12.8" hidden="false" customHeight="false" outlineLevel="0" collapsed="false">
      <c r="A275" s="1" t="s">
        <v>569</v>
      </c>
      <c r="C275" s="3" t="s">
        <v>584</v>
      </c>
      <c r="D275" s="4" t="s">
        <v>571</v>
      </c>
      <c r="F275" s="6" t="s">
        <v>585</v>
      </c>
      <c r="G275" s="7" t="str">
        <f aca="false">HYPERLINK(CONCATENATE("http://crfop.gdos.gov.pl/CRFOP/widok/viewpomnikprzyrody.jsf?fop=","PL.ZIPOP.1393.PP.1003032.2372"),"(kliknij lub Ctrl+kliknij)")</f>
        <v>(kliknij lub Ctrl+kliknij)</v>
      </c>
      <c r="H275" s="0" t="s">
        <v>466</v>
      </c>
    </row>
    <row r="276" customFormat="false" ht="12.8" hidden="false" customHeight="false" outlineLevel="0" collapsed="false">
      <c r="A276" s="1" t="s">
        <v>569</v>
      </c>
      <c r="C276" s="3" t="s">
        <v>584</v>
      </c>
      <c r="D276" s="4" t="s">
        <v>571</v>
      </c>
      <c r="F276" s="6" t="s">
        <v>585</v>
      </c>
      <c r="G276" s="7" t="str">
        <f aca="false">HYPERLINK(CONCATENATE("http://crfop.gdos.gov.pl/CRFOP/widok/viewpomnikprzyrody.jsf?fop=","PL.ZIPOP.1393.PP.1003032.2373"),"(kliknij lub Ctrl+kliknij)")</f>
        <v>(kliknij lub Ctrl+kliknij)</v>
      </c>
      <c r="H276" s="0" t="s">
        <v>466</v>
      </c>
    </row>
    <row r="277" customFormat="false" ht="12.8" hidden="false" customHeight="false" outlineLevel="0" collapsed="false">
      <c r="A277" s="1" t="s">
        <v>569</v>
      </c>
      <c r="C277" s="3" t="s">
        <v>584</v>
      </c>
      <c r="D277" s="4" t="s">
        <v>571</v>
      </c>
      <c r="F277" s="6" t="s">
        <v>585</v>
      </c>
      <c r="G277" s="7" t="str">
        <f aca="false">HYPERLINK(CONCATENATE("http://crfop.gdos.gov.pl/CRFOP/widok/viewpomnikprzyrody.jsf?fop=","PL.ZIPOP.1393.PP.1003032.2374"),"(kliknij lub Ctrl+kliknij)")</f>
        <v>(kliknij lub Ctrl+kliknij)</v>
      </c>
      <c r="H277" s="0" t="s">
        <v>466</v>
      </c>
    </row>
    <row r="278" customFormat="false" ht="12.8" hidden="false" customHeight="false" outlineLevel="0" collapsed="false">
      <c r="A278" s="1" t="s">
        <v>569</v>
      </c>
      <c r="C278" s="3" t="s">
        <v>584</v>
      </c>
      <c r="D278" s="4" t="s">
        <v>571</v>
      </c>
      <c r="F278" s="6" t="s">
        <v>585</v>
      </c>
      <c r="G278" s="7" t="str">
        <f aca="false">HYPERLINK(CONCATENATE("http://crfop.gdos.gov.pl/CRFOP/widok/viewpomnikprzyrody.jsf?fop=","PL.ZIPOP.1393.PP.1003032.2375"),"(kliknij lub Ctrl+kliknij)")</f>
        <v>(kliknij lub Ctrl+kliknij)</v>
      </c>
      <c r="H278" s="0" t="s">
        <v>466</v>
      </c>
    </row>
    <row r="279" customFormat="false" ht="12.8" hidden="false" customHeight="false" outlineLevel="0" collapsed="false">
      <c r="A279" s="1" t="s">
        <v>569</v>
      </c>
      <c r="C279" s="3" t="s">
        <v>584</v>
      </c>
      <c r="D279" s="4" t="s">
        <v>571</v>
      </c>
      <c r="F279" s="6" t="s">
        <v>585</v>
      </c>
      <c r="G279" s="7" t="str">
        <f aca="false">HYPERLINK(CONCATENATE("http://crfop.gdos.gov.pl/CRFOP/widok/viewpomnikprzyrody.jsf?fop=","PL.ZIPOP.1393.PP.1003032.2377"),"(kliknij lub Ctrl+kliknij)")</f>
        <v>(kliknij lub Ctrl+kliknij)</v>
      </c>
      <c r="H279" s="0" t="s">
        <v>466</v>
      </c>
    </row>
    <row r="280" customFormat="false" ht="91.65" hidden="false" customHeight="false" outlineLevel="0" collapsed="false">
      <c r="A280" s="1" t="s">
        <v>569</v>
      </c>
      <c r="C280" s="3" t="s">
        <v>647</v>
      </c>
      <c r="D280" s="4" t="s">
        <v>571</v>
      </c>
      <c r="F280" s="10" t="s">
        <v>648</v>
      </c>
      <c r="G280" s="7" t="str">
        <f aca="false">HYPERLINK(CONCATENATE("http://crfop.gdos.gov.pl/CRFOP/widok/viewpomnikprzyrody.jsf?fop=","PL.ZIPOP.1393.PP.1003032.2378"),"(kliknij lub Ctrl+kliknij)")</f>
        <v>(kliknij lub Ctrl+kliknij)</v>
      </c>
      <c r="H280" s="0" t="s">
        <v>466</v>
      </c>
    </row>
    <row r="281" customFormat="false" ht="12.8" hidden="false" customHeight="false" outlineLevel="0" collapsed="false">
      <c r="A281" s="1" t="s">
        <v>569</v>
      </c>
      <c r="C281" s="3" t="s">
        <v>647</v>
      </c>
      <c r="D281" s="4" t="s">
        <v>571</v>
      </c>
      <c r="F281" s="6" t="s">
        <v>649</v>
      </c>
      <c r="G281" s="7" t="str">
        <f aca="false">HYPERLINK(CONCATENATE("http://crfop.gdos.gov.pl/CRFOP/widok/viewpomnikprzyrody.jsf?fop=","PL.ZIPOP.1393.PP.1003032.2379"),"(kliknij lub Ctrl+kliknij)")</f>
        <v>(kliknij lub Ctrl+kliknij)</v>
      </c>
      <c r="H281" s="0" t="s">
        <v>466</v>
      </c>
    </row>
    <row r="282" customFormat="false" ht="12.8" hidden="false" customHeight="false" outlineLevel="0" collapsed="false">
      <c r="A282" s="1" t="s">
        <v>569</v>
      </c>
      <c r="C282" s="3" t="s">
        <v>647</v>
      </c>
      <c r="D282" s="4" t="s">
        <v>571</v>
      </c>
      <c r="F282" s="6" t="s">
        <v>649</v>
      </c>
      <c r="G282" s="7" t="str">
        <f aca="false">HYPERLINK(CONCATENATE("http://crfop.gdos.gov.pl/CRFOP/widok/viewpomnikprzyrody.jsf?fop=","PL.ZIPOP.1393.PP.1003032.2380"),"(kliknij lub Ctrl+kliknij)")</f>
        <v>(kliknij lub Ctrl+kliknij)</v>
      </c>
      <c r="H282" s="0" t="s">
        <v>466</v>
      </c>
    </row>
    <row r="283" customFormat="false" ht="69" hidden="false" customHeight="false" outlineLevel="0" collapsed="false">
      <c r="A283" s="1" t="s">
        <v>569</v>
      </c>
      <c r="C283" s="3" t="s">
        <v>647</v>
      </c>
      <c r="D283" s="4" t="s">
        <v>571</v>
      </c>
      <c r="F283" s="10" t="s">
        <v>649</v>
      </c>
      <c r="G283" s="7" t="str">
        <f aca="false">HYPERLINK(CONCATENATE("http://crfop.gdos.gov.pl/CRFOP/widok/viewpomnikprzyrody.jsf?fop=","PL.ZIPOP.1393.PP.1003032.2381"),"(kliknij lub Ctrl+kliknij)")</f>
        <v>(kliknij lub Ctrl+kliknij)</v>
      </c>
      <c r="H283" s="0" t="s">
        <v>466</v>
      </c>
    </row>
    <row r="284" customFormat="false" ht="69" hidden="false" customHeight="false" outlineLevel="0" collapsed="false">
      <c r="A284" s="1" t="s">
        <v>569</v>
      </c>
      <c r="C284" s="3" t="s">
        <v>584</v>
      </c>
      <c r="D284" s="4" t="s">
        <v>571</v>
      </c>
      <c r="F284" s="10" t="s">
        <v>585</v>
      </c>
      <c r="G284" s="7" t="str">
        <f aca="false">HYPERLINK(CONCATENATE("http://crfop.gdos.gov.pl/CRFOP/widok/viewpomnikprzyrody.jsf?fop=","PL.ZIPOP.1393.PP.1003042.2342"),"(kliknij lub Ctrl+kliknij)")</f>
        <v>(kliknij lub Ctrl+kliknij)</v>
      </c>
      <c r="H284" s="0" t="s">
        <v>650</v>
      </c>
    </row>
    <row r="285" customFormat="false" ht="12.8" hidden="false" customHeight="false" outlineLevel="0" collapsed="false">
      <c r="A285" s="1" t="s">
        <v>569</v>
      </c>
      <c r="C285" s="3" t="s">
        <v>584</v>
      </c>
      <c r="D285" s="4" t="s">
        <v>571</v>
      </c>
      <c r="F285" s="6" t="s">
        <v>585</v>
      </c>
      <c r="G285" s="7" t="str">
        <f aca="false">HYPERLINK(CONCATENATE("http://crfop.gdos.gov.pl/CRFOP/widok/viewpomnikprzyrody.jsf?fop=","PL.ZIPOP.1393.PP.1003052.2332"),"(kliknij lub Ctrl+kliknij)")</f>
        <v>(kliknij lub Ctrl+kliknij)</v>
      </c>
      <c r="H285" s="0" t="s">
        <v>651</v>
      </c>
    </row>
    <row r="286" customFormat="false" ht="12.8" hidden="false" customHeight="false" outlineLevel="0" collapsed="false">
      <c r="A286" s="1" t="s">
        <v>569</v>
      </c>
      <c r="C286" s="3" t="s">
        <v>584</v>
      </c>
      <c r="D286" s="4" t="s">
        <v>571</v>
      </c>
      <c r="F286" s="6" t="s">
        <v>585</v>
      </c>
      <c r="G286" s="7" t="str">
        <f aca="false">HYPERLINK(CONCATENATE("http://crfop.gdos.gov.pl/CRFOP/widok/viewpomnikprzyrody.jsf?fop=","PL.ZIPOP.1393.PP.1003052.2333"),"(kliknij lub Ctrl+kliknij)")</f>
        <v>(kliknij lub Ctrl+kliknij)</v>
      </c>
      <c r="H286" s="0" t="s">
        <v>651</v>
      </c>
    </row>
    <row r="287" customFormat="false" ht="12.8" hidden="false" customHeight="false" outlineLevel="0" collapsed="false">
      <c r="A287" s="1" t="s">
        <v>569</v>
      </c>
      <c r="C287" s="3" t="s">
        <v>584</v>
      </c>
      <c r="D287" s="4" t="s">
        <v>571</v>
      </c>
      <c r="F287" s="6" t="s">
        <v>585</v>
      </c>
      <c r="G287" s="7" t="str">
        <f aca="false">HYPERLINK(CONCATENATE("http://crfop.gdos.gov.pl/CRFOP/widok/viewpomnikprzyrody.jsf?fop=","PL.ZIPOP.1393.PP.1003052.2334"),"(kliknij lub Ctrl+kliknij)")</f>
        <v>(kliknij lub Ctrl+kliknij)</v>
      </c>
      <c r="H287" s="0" t="s">
        <v>651</v>
      </c>
    </row>
    <row r="288" customFormat="false" ht="12.8" hidden="false" customHeight="false" outlineLevel="0" collapsed="false">
      <c r="A288" s="1" t="s">
        <v>569</v>
      </c>
      <c r="C288" s="3" t="s">
        <v>584</v>
      </c>
      <c r="D288" s="4" t="s">
        <v>571</v>
      </c>
      <c r="F288" s="6" t="s">
        <v>585</v>
      </c>
      <c r="G288" s="7" t="str">
        <f aca="false">HYPERLINK(CONCATENATE("http://crfop.gdos.gov.pl/CRFOP/widok/viewpomnikprzyrody.jsf?fop=","PL.ZIPOP.1393.PP.1003052.2335"),"(kliknij lub Ctrl+kliknij)")</f>
        <v>(kliknij lub Ctrl+kliknij)</v>
      </c>
      <c r="H288" s="0" t="s">
        <v>651</v>
      </c>
    </row>
    <row r="289" customFormat="false" ht="12.8" hidden="false" customHeight="false" outlineLevel="0" collapsed="false">
      <c r="A289" s="1" t="s">
        <v>569</v>
      </c>
      <c r="C289" s="3" t="s">
        <v>584</v>
      </c>
      <c r="D289" s="4" t="s">
        <v>571</v>
      </c>
      <c r="F289" s="6" t="s">
        <v>585</v>
      </c>
      <c r="G289" s="7" t="str">
        <f aca="false">HYPERLINK(CONCATENATE("http://crfop.gdos.gov.pl/CRFOP/widok/viewpomnikprzyrody.jsf?fop=","PL.ZIPOP.1393.PP.1003052.2337"),"(kliknij lub Ctrl+kliknij)")</f>
        <v>(kliknij lub Ctrl+kliknij)</v>
      </c>
      <c r="H289" s="0" t="s">
        <v>651</v>
      </c>
    </row>
    <row r="290" customFormat="false" ht="12.8" hidden="false" customHeight="false" outlineLevel="0" collapsed="false">
      <c r="A290" s="1" t="s">
        <v>569</v>
      </c>
      <c r="C290" s="3" t="s">
        <v>584</v>
      </c>
      <c r="D290" s="4" t="s">
        <v>571</v>
      </c>
      <c r="F290" s="6" t="s">
        <v>585</v>
      </c>
      <c r="G290" s="7" t="str">
        <f aca="false">HYPERLINK(CONCATENATE("http://crfop.gdos.gov.pl/CRFOP/widok/viewpomnikprzyrody.jsf?fop=","PL.ZIPOP.1393.PP.1003052.2340"),"(kliknij lub Ctrl+kliknij)")</f>
        <v>(kliknij lub Ctrl+kliknij)</v>
      </c>
      <c r="H290" s="0" t="s">
        <v>651</v>
      </c>
    </row>
    <row r="291" customFormat="false" ht="12.8" hidden="false" customHeight="false" outlineLevel="0" collapsed="false">
      <c r="A291" s="1" t="s">
        <v>569</v>
      </c>
      <c r="C291" s="3" t="s">
        <v>584</v>
      </c>
      <c r="D291" s="4" t="s">
        <v>571</v>
      </c>
      <c r="F291" s="6" t="s">
        <v>585</v>
      </c>
      <c r="G291" s="7" t="str">
        <f aca="false">HYPERLINK(CONCATENATE("http://crfop.gdos.gov.pl/CRFOP/widok/viewpomnikprzyrody.jsf?fop=","PL.ZIPOP.1393.PP.1003052.2341"),"(kliknij lub Ctrl+kliknij)")</f>
        <v>(kliknij lub Ctrl+kliknij)</v>
      </c>
      <c r="H291" s="0" t="s">
        <v>651</v>
      </c>
    </row>
    <row r="292" customFormat="false" ht="12.8" hidden="false" customHeight="false" outlineLevel="0" collapsed="false">
      <c r="A292" s="1" t="s">
        <v>569</v>
      </c>
      <c r="B292" s="2" t="s">
        <v>652</v>
      </c>
      <c r="C292" s="3" t="s">
        <v>653</v>
      </c>
      <c r="D292" s="4" t="s">
        <v>571</v>
      </c>
      <c r="F292" s="6" t="s">
        <v>654</v>
      </c>
      <c r="G292" s="7" t="str">
        <f aca="false">HYPERLINK(CONCATENATE("http://crfop.gdos.gov.pl/CRFOP/widok/viewpomnikprzyrody.jsf?fop=","PL.ZIPOP.1393.PP.1004011.385"),"(kliknij lub Ctrl+kliknij)")</f>
        <v>(kliknij lub Ctrl+kliknij)</v>
      </c>
      <c r="H292" s="0" t="s">
        <v>655</v>
      </c>
    </row>
    <row r="293" customFormat="false" ht="12.8" hidden="false" customHeight="false" outlineLevel="0" collapsed="false">
      <c r="A293" s="1" t="s">
        <v>569</v>
      </c>
      <c r="B293" s="2" t="s">
        <v>656</v>
      </c>
      <c r="C293" s="3" t="s">
        <v>653</v>
      </c>
      <c r="D293" s="4" t="s">
        <v>571</v>
      </c>
      <c r="F293" s="6" t="s">
        <v>654</v>
      </c>
      <c r="G293" s="7" t="str">
        <f aca="false">HYPERLINK(CONCATENATE("http://crfop.gdos.gov.pl/CRFOP/widok/viewpomnikprzyrody.jsf?fop=","PL.ZIPOP.1393.PP.1004011.386"),"(kliknij lub Ctrl+kliknij)")</f>
        <v>(kliknij lub Ctrl+kliknij)</v>
      </c>
      <c r="H293" s="0" t="s">
        <v>655</v>
      </c>
    </row>
    <row r="294" customFormat="false" ht="12.8" hidden="false" customHeight="false" outlineLevel="0" collapsed="false">
      <c r="A294" s="1" t="s">
        <v>569</v>
      </c>
      <c r="B294" s="2" t="s">
        <v>657</v>
      </c>
      <c r="C294" s="3" t="s">
        <v>653</v>
      </c>
      <c r="D294" s="4" t="s">
        <v>571</v>
      </c>
      <c r="F294" s="6" t="s">
        <v>654</v>
      </c>
      <c r="G294" s="7" t="str">
        <f aca="false">HYPERLINK(CONCATENATE("http://crfop.gdos.gov.pl/CRFOP/widok/viewpomnikprzyrody.jsf?fop=","PL.ZIPOP.1393.PP.1004011.387"),"(kliknij lub Ctrl+kliknij)")</f>
        <v>(kliknij lub Ctrl+kliknij)</v>
      </c>
      <c r="H294" s="0" t="s">
        <v>655</v>
      </c>
    </row>
    <row r="295" customFormat="false" ht="12.8" hidden="false" customHeight="false" outlineLevel="0" collapsed="false">
      <c r="A295" s="1" t="s">
        <v>569</v>
      </c>
      <c r="C295" s="3" t="s">
        <v>608</v>
      </c>
      <c r="D295" s="4" t="s">
        <v>571</v>
      </c>
      <c r="F295" s="6" t="s">
        <v>658</v>
      </c>
      <c r="G295" s="7" t="str">
        <f aca="false">HYPERLINK(CONCATENATE("http://crfop.gdos.gov.pl/CRFOP/widok/viewpomnikprzyrody.jsf?fop=","PL.ZIPOP.1393.PP.1004022.371"),"(kliknij lub Ctrl+kliknij)")</f>
        <v>(kliknij lub Ctrl+kliknij)</v>
      </c>
      <c r="H295" s="0" t="s">
        <v>659</v>
      </c>
    </row>
    <row r="296" customFormat="false" ht="12.8" hidden="false" customHeight="false" outlineLevel="0" collapsed="false">
      <c r="A296" s="1" t="s">
        <v>569</v>
      </c>
      <c r="C296" s="3" t="s">
        <v>660</v>
      </c>
      <c r="D296" s="4" t="s">
        <v>571</v>
      </c>
      <c r="F296" s="6" t="s">
        <v>661</v>
      </c>
      <c r="G296" s="7" t="str">
        <f aca="false">HYPERLINK(CONCATENATE("http://crfop.gdos.gov.pl/CRFOP/widok/viewpomnikprzyrody.jsf?fop=","PL.ZIPOP.1393.PP.1004022.373"),"(kliknij lub Ctrl+kliknij)")</f>
        <v>(kliknij lub Ctrl+kliknij)</v>
      </c>
      <c r="H296" s="0" t="s">
        <v>659</v>
      </c>
    </row>
    <row r="297" customFormat="false" ht="12.8" hidden="false" customHeight="false" outlineLevel="0" collapsed="false">
      <c r="A297" s="1" t="s">
        <v>569</v>
      </c>
      <c r="C297" s="3" t="s">
        <v>660</v>
      </c>
      <c r="D297" s="4" t="s">
        <v>571</v>
      </c>
      <c r="F297" s="6" t="s">
        <v>661</v>
      </c>
      <c r="G297" s="7" t="str">
        <f aca="false">HYPERLINK(CONCATENATE("http://crfop.gdos.gov.pl/CRFOP/widok/viewpomnikprzyrody.jsf?fop=","PL.ZIPOP.1393.PP.1004022.374"),"(kliknij lub Ctrl+kliknij)")</f>
        <v>(kliknij lub Ctrl+kliknij)</v>
      </c>
      <c r="H297" s="0" t="s">
        <v>659</v>
      </c>
    </row>
    <row r="298" customFormat="false" ht="12.8" hidden="false" customHeight="false" outlineLevel="0" collapsed="false">
      <c r="A298" s="1" t="s">
        <v>569</v>
      </c>
      <c r="C298" s="3" t="s">
        <v>660</v>
      </c>
      <c r="D298" s="4" t="s">
        <v>571</v>
      </c>
      <c r="F298" s="6" t="s">
        <v>661</v>
      </c>
      <c r="G298" s="7" t="str">
        <f aca="false">HYPERLINK(CONCATENATE("http://crfop.gdos.gov.pl/CRFOP/widok/viewpomnikprzyrody.jsf?fop=","PL.ZIPOP.1393.PP.1004022.375"),"(kliknij lub Ctrl+kliknij)")</f>
        <v>(kliknij lub Ctrl+kliknij)</v>
      </c>
      <c r="H298" s="0" t="s">
        <v>659</v>
      </c>
    </row>
    <row r="299" customFormat="false" ht="12.8" hidden="false" customHeight="false" outlineLevel="0" collapsed="false">
      <c r="A299" s="1" t="s">
        <v>569</v>
      </c>
      <c r="C299" s="3" t="s">
        <v>633</v>
      </c>
      <c r="D299" s="4" t="s">
        <v>571</v>
      </c>
      <c r="F299" s="6" t="s">
        <v>634</v>
      </c>
      <c r="G299" s="7" t="str">
        <f aca="false">HYPERLINK(CONCATENATE("http://crfop.gdos.gov.pl/CRFOP/widok/viewpomnikprzyrody.jsf?fop=","PL.ZIPOP.1393.PP.1004022.378"),"(kliknij lub Ctrl+kliknij)")</f>
        <v>(kliknij lub Ctrl+kliknij)</v>
      </c>
      <c r="H299" s="0" t="s">
        <v>659</v>
      </c>
    </row>
    <row r="300" customFormat="false" ht="12.8" hidden="false" customHeight="false" outlineLevel="0" collapsed="false">
      <c r="A300" s="1" t="s">
        <v>569</v>
      </c>
      <c r="C300" s="3" t="s">
        <v>662</v>
      </c>
      <c r="D300" s="4" t="s">
        <v>571</v>
      </c>
      <c r="F300" s="6" t="s">
        <v>627</v>
      </c>
      <c r="G300" s="7" t="str">
        <f aca="false">HYPERLINK(CONCATENATE("http://crfop.gdos.gov.pl/CRFOP/widok/viewpomnikprzyrody.jsf?fop=","PL.ZIPOP.1393.PP.1004032.393"),"(kliknij lub Ctrl+kliknij)")</f>
        <v>(kliknij lub Ctrl+kliknij)</v>
      </c>
      <c r="H300" s="0" t="s">
        <v>663</v>
      </c>
    </row>
    <row r="301" customFormat="false" ht="12.8" hidden="false" customHeight="false" outlineLevel="0" collapsed="false">
      <c r="A301" s="1" t="s">
        <v>569</v>
      </c>
      <c r="C301" s="3" t="s">
        <v>662</v>
      </c>
      <c r="D301" s="4" t="s">
        <v>571</v>
      </c>
      <c r="F301" s="6" t="s">
        <v>627</v>
      </c>
      <c r="G301" s="7" t="str">
        <f aca="false">HYPERLINK(CONCATENATE("http://crfop.gdos.gov.pl/CRFOP/widok/viewpomnikprzyrody.jsf?fop=","PL.ZIPOP.1393.PP.1004032.394"),"(kliknij lub Ctrl+kliknij)")</f>
        <v>(kliknij lub Ctrl+kliknij)</v>
      </c>
      <c r="H301" s="0" t="s">
        <v>663</v>
      </c>
    </row>
    <row r="302" customFormat="false" ht="12.8" hidden="false" customHeight="false" outlineLevel="0" collapsed="false">
      <c r="A302" s="1" t="s">
        <v>569</v>
      </c>
      <c r="C302" s="3" t="s">
        <v>664</v>
      </c>
      <c r="D302" s="4" t="s">
        <v>571</v>
      </c>
      <c r="F302" s="6" t="s">
        <v>665</v>
      </c>
      <c r="G302" s="7" t="str">
        <f aca="false">HYPERLINK(CONCATENATE("http://crfop.gdos.gov.pl/CRFOP/widok/viewpomnikprzyrody.jsf?fop=","PL.ZIPOP.1393.PP.1004032.396"),"(kliknij lub Ctrl+kliknij)")</f>
        <v>(kliknij lub Ctrl+kliknij)</v>
      </c>
      <c r="H302" s="0" t="s">
        <v>663</v>
      </c>
    </row>
    <row r="303" customFormat="false" ht="12.8" hidden="false" customHeight="false" outlineLevel="0" collapsed="false">
      <c r="A303" s="1" t="s">
        <v>569</v>
      </c>
      <c r="B303" s="2" t="s">
        <v>666</v>
      </c>
      <c r="C303" s="3" t="s">
        <v>667</v>
      </c>
      <c r="D303" s="4" t="s">
        <v>571</v>
      </c>
      <c r="F303" s="6" t="s">
        <v>668</v>
      </c>
      <c r="G303" s="7" t="str">
        <f aca="false">HYPERLINK(CONCATENATE("http://crfop.gdos.gov.pl/CRFOP/widok/viewpomnikprzyrody.jsf?fop=","PL.ZIPOP.1393.PP.1004042.397"),"(kliknij lub Ctrl+kliknij)")</f>
        <v>(kliknij lub Ctrl+kliknij)</v>
      </c>
      <c r="H303" s="0" t="s">
        <v>669</v>
      </c>
    </row>
    <row r="304" customFormat="false" ht="12.8" hidden="false" customHeight="false" outlineLevel="0" collapsed="false">
      <c r="A304" s="1" t="s">
        <v>569</v>
      </c>
      <c r="C304" s="3" t="s">
        <v>608</v>
      </c>
      <c r="D304" s="4" t="s">
        <v>571</v>
      </c>
      <c r="F304" s="6" t="s">
        <v>670</v>
      </c>
      <c r="G304" s="7" t="str">
        <f aca="false">HYPERLINK(CONCATENATE("http://crfop.gdos.gov.pl/CRFOP/widok/viewpomnikprzyrody.jsf?fop=","PL.ZIPOP.1393.PP.1004052.381"),"(kliknij lub Ctrl+kliknij)")</f>
        <v>(kliknij lub Ctrl+kliknij)</v>
      </c>
      <c r="H304" s="0" t="s">
        <v>655</v>
      </c>
    </row>
    <row r="305" customFormat="false" ht="12.8" hidden="false" customHeight="false" outlineLevel="0" collapsed="false">
      <c r="A305" s="1" t="s">
        <v>569</v>
      </c>
      <c r="C305" s="3" t="s">
        <v>662</v>
      </c>
      <c r="D305" s="4" t="s">
        <v>571</v>
      </c>
      <c r="F305" s="6" t="s">
        <v>627</v>
      </c>
      <c r="G305" s="7" t="str">
        <f aca="false">HYPERLINK(CONCATENATE("http://crfop.gdos.gov.pl/CRFOP/widok/viewpomnikprzyrody.jsf?fop=","PL.ZIPOP.1393.PP.1004052.382"),"(kliknij lub Ctrl+kliknij)")</f>
        <v>(kliknij lub Ctrl+kliknij)</v>
      </c>
      <c r="H305" s="0" t="s">
        <v>655</v>
      </c>
    </row>
    <row r="306" customFormat="false" ht="12.8" hidden="false" customHeight="false" outlineLevel="0" collapsed="false">
      <c r="A306" s="1" t="s">
        <v>569</v>
      </c>
      <c r="C306" s="3" t="s">
        <v>671</v>
      </c>
      <c r="D306" s="4" t="s">
        <v>571</v>
      </c>
      <c r="F306" s="6" t="s">
        <v>672</v>
      </c>
      <c r="G306" s="7" t="str">
        <f aca="false">HYPERLINK(CONCATENATE("http://crfop.gdos.gov.pl/CRFOP/widok/viewpomnikprzyrody.jsf?fop=","PL.ZIPOP.1393.PP.1004052.383"),"(kliknij lub Ctrl+kliknij)")</f>
        <v>(kliknij lub Ctrl+kliknij)</v>
      </c>
      <c r="H306" s="0" t="s">
        <v>655</v>
      </c>
    </row>
    <row r="307" customFormat="false" ht="12.8" hidden="false" customHeight="false" outlineLevel="0" collapsed="false">
      <c r="A307" s="1" t="s">
        <v>569</v>
      </c>
      <c r="C307" s="3" t="s">
        <v>673</v>
      </c>
      <c r="D307" s="4" t="s">
        <v>571</v>
      </c>
      <c r="F307" s="6" t="s">
        <v>674</v>
      </c>
      <c r="G307" s="7" t="str">
        <f aca="false">HYPERLINK(CONCATENATE("http://crfop.gdos.gov.pl/CRFOP/widok/viewpomnikprzyrody.jsf?fop=","PL.ZIPOP.1393.PP.1004052.384"),"(kliknij lub Ctrl+kliknij)")</f>
        <v>(kliknij lub Ctrl+kliknij)</v>
      </c>
      <c r="H307" s="0" t="s">
        <v>655</v>
      </c>
    </row>
    <row r="308" customFormat="false" ht="12.8" hidden="false" customHeight="false" outlineLevel="0" collapsed="false">
      <c r="A308" s="1" t="s">
        <v>569</v>
      </c>
      <c r="C308" s="3" t="s">
        <v>624</v>
      </c>
      <c r="D308" s="4" t="s">
        <v>571</v>
      </c>
      <c r="F308" s="6" t="s">
        <v>675</v>
      </c>
      <c r="G308" s="7" t="str">
        <f aca="false">HYPERLINK(CONCATENATE("http://crfop.gdos.gov.pl/CRFOP/widok/viewpomnikprzyrody.jsf?fop=","PL.ZIPOP.1393.PP.1004062.388"),"(kliknij lub Ctrl+kliknij)")</f>
        <v>(kliknij lub Ctrl+kliknij)</v>
      </c>
    </row>
    <row r="309" customFormat="false" ht="12.8" hidden="false" customHeight="false" outlineLevel="0" collapsed="false">
      <c r="A309" s="1" t="s">
        <v>569</v>
      </c>
      <c r="C309" s="3" t="s">
        <v>624</v>
      </c>
      <c r="D309" s="4" t="s">
        <v>571</v>
      </c>
      <c r="F309" s="6" t="s">
        <v>675</v>
      </c>
      <c r="G309" s="7" t="str">
        <f aca="false">HYPERLINK(CONCATENATE("http://crfop.gdos.gov.pl/CRFOP/widok/viewpomnikprzyrody.jsf?fop=","PL.ZIPOP.1393.PP.1004062.389"),"(kliknij lub Ctrl+kliknij)")</f>
        <v>(kliknij lub Ctrl+kliknij)</v>
      </c>
    </row>
    <row r="310" customFormat="false" ht="12.8" hidden="false" customHeight="false" outlineLevel="0" collapsed="false">
      <c r="A310" s="1" t="s">
        <v>569</v>
      </c>
      <c r="C310" s="3" t="s">
        <v>624</v>
      </c>
      <c r="D310" s="4" t="s">
        <v>571</v>
      </c>
      <c r="F310" s="6" t="s">
        <v>675</v>
      </c>
      <c r="G310" s="7" t="str">
        <f aca="false">HYPERLINK(CONCATENATE("http://crfop.gdos.gov.pl/CRFOP/widok/viewpomnikprzyrody.jsf?fop=","PL.ZIPOP.1393.PP.1004062.390"),"(kliknij lub Ctrl+kliknij)")</f>
        <v>(kliknij lub Ctrl+kliknij)</v>
      </c>
    </row>
    <row r="311" customFormat="false" ht="12.8" hidden="false" customHeight="false" outlineLevel="0" collapsed="false">
      <c r="A311" s="1" t="s">
        <v>569</v>
      </c>
      <c r="C311" s="3" t="s">
        <v>624</v>
      </c>
      <c r="D311" s="4" t="s">
        <v>571</v>
      </c>
      <c r="F311" s="6" t="s">
        <v>676</v>
      </c>
      <c r="G311" s="7" t="str">
        <f aca="false">HYPERLINK(CONCATENATE("http://crfop.gdos.gov.pl/CRFOP/widok/viewpomnikprzyrody.jsf?fop=","PL.ZIPOP.1393.PP.1004062.391"),"(kliknij lub Ctrl+kliknij)")</f>
        <v>(kliknij lub Ctrl+kliknij)</v>
      </c>
    </row>
    <row r="312" customFormat="false" ht="12.8" hidden="false" customHeight="false" outlineLevel="0" collapsed="false">
      <c r="A312" s="1" t="s">
        <v>569</v>
      </c>
      <c r="C312" s="3" t="s">
        <v>662</v>
      </c>
      <c r="D312" s="4" t="s">
        <v>571</v>
      </c>
      <c r="F312" s="6" t="s">
        <v>627</v>
      </c>
      <c r="G312" s="7" t="str">
        <f aca="false">HYPERLINK(CONCATENATE("http://crfop.gdos.gov.pl/CRFOP/widok/viewpomnikprzyrody.jsf?fop=","PL.ZIPOP.1393.PP.1004062.392"),"(kliknij lub Ctrl+kliknij)")</f>
        <v>(kliknij lub Ctrl+kliknij)</v>
      </c>
    </row>
    <row r="313" customFormat="false" ht="12.8" hidden="false" customHeight="false" outlineLevel="0" collapsed="false">
      <c r="A313" s="1" t="s">
        <v>569</v>
      </c>
      <c r="C313" s="3" t="s">
        <v>677</v>
      </c>
      <c r="D313" s="4" t="s">
        <v>571</v>
      </c>
      <c r="F313" s="6" t="s">
        <v>678</v>
      </c>
      <c r="G313" s="7" t="str">
        <f aca="false">HYPERLINK(CONCATENATE("http://crfop.gdos.gov.pl/CRFOP/widok/viewpomnikprzyrody.jsf?fop=","PL.ZIPOP.1393.PP.1004072.2432"),"(kliknij lub Ctrl+kliknij)")</f>
        <v>(kliknij lub Ctrl+kliknij)</v>
      </c>
      <c r="H313" s="0" t="s">
        <v>679</v>
      </c>
    </row>
    <row r="314" customFormat="false" ht="12.8" hidden="false" customHeight="false" outlineLevel="0" collapsed="false">
      <c r="A314" s="1" t="s">
        <v>569</v>
      </c>
      <c r="C314" s="3" t="s">
        <v>680</v>
      </c>
      <c r="D314" s="4" t="s">
        <v>571</v>
      </c>
      <c r="F314" s="6" t="s">
        <v>681</v>
      </c>
      <c r="G314" s="7" t="str">
        <f aca="false">HYPERLINK(CONCATENATE("http://crfop.gdos.gov.pl/CRFOP/widok/viewpomnikprzyrody.jsf?fop=","PL.ZIPOP.1393.PP.1004072.2433"),"(kliknij lub Ctrl+kliknij)")</f>
        <v>(kliknij lub Ctrl+kliknij)</v>
      </c>
      <c r="H314" s="0" t="s">
        <v>679</v>
      </c>
    </row>
    <row r="315" customFormat="false" ht="12.8" hidden="false" customHeight="false" outlineLevel="0" collapsed="false">
      <c r="A315" s="1" t="s">
        <v>569</v>
      </c>
      <c r="C315" s="3" t="s">
        <v>682</v>
      </c>
      <c r="D315" s="4" t="s">
        <v>571</v>
      </c>
      <c r="F315" s="6" t="s">
        <v>683</v>
      </c>
      <c r="G315" s="7" t="str">
        <f aca="false">HYPERLINK(CONCATENATE("http://crfop.gdos.gov.pl/CRFOP/widok/viewpomnikprzyrody.jsf?fop=","PL.ZIPOP.1393.PP.1004072.398"),"(kliknij lub Ctrl+kliknij)")</f>
        <v>(kliknij lub Ctrl+kliknij)</v>
      </c>
      <c r="H315" s="0" t="s">
        <v>679</v>
      </c>
    </row>
    <row r="316" customFormat="false" ht="12.8" hidden="false" customHeight="false" outlineLevel="0" collapsed="false">
      <c r="A316" s="1" t="s">
        <v>569</v>
      </c>
      <c r="C316" s="3" t="s">
        <v>682</v>
      </c>
      <c r="D316" s="4" t="s">
        <v>571</v>
      </c>
      <c r="F316" s="6" t="s">
        <v>683</v>
      </c>
      <c r="G316" s="7" t="str">
        <f aca="false">HYPERLINK(CONCATENATE("http://crfop.gdos.gov.pl/CRFOP/widok/viewpomnikprzyrody.jsf?fop=","PL.ZIPOP.1393.PP.1004072.399"),"(kliknij lub Ctrl+kliknij)")</f>
        <v>(kliknij lub Ctrl+kliknij)</v>
      </c>
      <c r="H316" s="0" t="s">
        <v>679</v>
      </c>
    </row>
    <row r="317" customFormat="false" ht="12.8" hidden="false" customHeight="false" outlineLevel="0" collapsed="false">
      <c r="A317" s="1" t="s">
        <v>569</v>
      </c>
      <c r="C317" s="3" t="s">
        <v>680</v>
      </c>
      <c r="D317" s="4" t="s">
        <v>571</v>
      </c>
      <c r="F317" s="6" t="s">
        <v>681</v>
      </c>
      <c r="G317" s="7" t="str">
        <f aca="false">HYPERLINK(CONCATENATE("http://crfop.gdos.gov.pl/CRFOP/widok/viewpomnikprzyrody.jsf?fop=","PL.ZIPOP.1393.PP.1004072.401"),"(kliknij lub Ctrl+kliknij)")</f>
        <v>(kliknij lub Ctrl+kliknij)</v>
      </c>
      <c r="H317" s="0" t="s">
        <v>679</v>
      </c>
    </row>
    <row r="318" customFormat="false" ht="12.8" hidden="false" customHeight="false" outlineLevel="0" collapsed="false">
      <c r="A318" s="1" t="s">
        <v>569</v>
      </c>
      <c r="C318" s="3" t="s">
        <v>684</v>
      </c>
      <c r="D318" s="4" t="s">
        <v>571</v>
      </c>
      <c r="F318" s="6" t="s">
        <v>685</v>
      </c>
      <c r="G318" s="7" t="str">
        <f aca="false">HYPERLINK(CONCATENATE("http://crfop.gdos.gov.pl/CRFOP/widok/viewpomnikprzyrody.jsf?fop=","PL.ZIPOP.1393.PP.1005011.905"),"(kliknij lub Ctrl+kliknij)")</f>
        <v>(kliknij lub Ctrl+kliknij)</v>
      </c>
      <c r="H318" s="0" t="s">
        <v>686</v>
      </c>
    </row>
    <row r="319" customFormat="false" ht="12.8" hidden="false" customHeight="false" outlineLevel="0" collapsed="false">
      <c r="A319" s="1" t="s">
        <v>569</v>
      </c>
      <c r="C319" s="3" t="s">
        <v>687</v>
      </c>
      <c r="D319" s="4" t="s">
        <v>571</v>
      </c>
      <c r="F319" s="6" t="s">
        <v>688</v>
      </c>
      <c r="G319" s="7" t="str">
        <f aca="false">HYPERLINK(CONCATENATE("http://crfop.gdos.gov.pl/CRFOP/widok/viewpomnikprzyrody.jsf?fop=","PL.ZIPOP.1393.PP.1005011.906"),"(kliknij lub Ctrl+kliknij)")</f>
        <v>(kliknij lub Ctrl+kliknij)</v>
      </c>
      <c r="H319" s="0" t="s">
        <v>686</v>
      </c>
    </row>
    <row r="320" customFormat="false" ht="12.8" hidden="false" customHeight="false" outlineLevel="0" collapsed="false">
      <c r="A320" s="1" t="s">
        <v>569</v>
      </c>
      <c r="C320" s="3" t="s">
        <v>684</v>
      </c>
      <c r="D320" s="4" t="s">
        <v>571</v>
      </c>
      <c r="F320" s="6" t="s">
        <v>685</v>
      </c>
      <c r="G320" s="7" t="str">
        <f aca="false">HYPERLINK(CONCATENATE("http://crfop.gdos.gov.pl/CRFOP/widok/viewpomnikprzyrody.jsf?fop=","PL.ZIPOP.1393.PP.1005011.908"),"(kliknij lub Ctrl+kliknij)")</f>
        <v>(kliknij lub Ctrl+kliknij)</v>
      </c>
      <c r="H320" s="0" t="s">
        <v>686</v>
      </c>
    </row>
    <row r="321" customFormat="false" ht="12.8" hidden="false" customHeight="false" outlineLevel="0" collapsed="false">
      <c r="A321" s="1" t="s">
        <v>569</v>
      </c>
      <c r="C321" s="3" t="s">
        <v>687</v>
      </c>
      <c r="D321" s="4" t="s">
        <v>571</v>
      </c>
      <c r="F321" s="6" t="s">
        <v>688</v>
      </c>
      <c r="G321" s="7" t="str">
        <f aca="false">HYPERLINK(CONCATENATE("http://crfop.gdos.gov.pl/CRFOP/widok/viewpomnikprzyrody.jsf?fop=","PL.ZIPOP.1393.PP.1005011.912"),"(kliknij lub Ctrl+kliknij)")</f>
        <v>(kliknij lub Ctrl+kliknij)</v>
      </c>
      <c r="H321" s="0" t="s">
        <v>686</v>
      </c>
    </row>
    <row r="322" customFormat="false" ht="12.8" hidden="false" customHeight="false" outlineLevel="0" collapsed="false">
      <c r="A322" s="1" t="s">
        <v>569</v>
      </c>
      <c r="C322" s="3" t="s">
        <v>687</v>
      </c>
      <c r="D322" s="4" t="s">
        <v>571</v>
      </c>
      <c r="F322" s="6" t="s">
        <v>688</v>
      </c>
      <c r="G322" s="7" t="str">
        <f aca="false">HYPERLINK(CONCATENATE("http://crfop.gdos.gov.pl/CRFOP/widok/viewpomnikprzyrody.jsf?fop=","PL.ZIPOP.1393.PP.1005011.913"),"(kliknij lub Ctrl+kliknij)")</f>
        <v>(kliknij lub Ctrl+kliknij)</v>
      </c>
      <c r="H322" s="0" t="s">
        <v>686</v>
      </c>
    </row>
    <row r="323" customFormat="false" ht="12.8" hidden="false" customHeight="false" outlineLevel="0" collapsed="false">
      <c r="A323" s="1" t="s">
        <v>569</v>
      </c>
      <c r="C323" s="3" t="s">
        <v>684</v>
      </c>
      <c r="D323" s="4" t="s">
        <v>571</v>
      </c>
      <c r="F323" s="6" t="s">
        <v>685</v>
      </c>
      <c r="G323" s="7" t="str">
        <f aca="false">HYPERLINK(CONCATENATE("http://crfop.gdos.gov.pl/CRFOP/widok/viewpomnikprzyrody.jsf?fop=","PL.ZIPOP.1393.PP.1005011.914"),"(kliknij lub Ctrl+kliknij)")</f>
        <v>(kliknij lub Ctrl+kliknij)</v>
      </c>
      <c r="H323" s="0" t="s">
        <v>686</v>
      </c>
    </row>
    <row r="324" customFormat="false" ht="12.8" hidden="false" customHeight="false" outlineLevel="0" collapsed="false">
      <c r="A324" s="1" t="s">
        <v>569</v>
      </c>
      <c r="C324" s="3" t="s">
        <v>684</v>
      </c>
      <c r="D324" s="4" t="s">
        <v>571</v>
      </c>
      <c r="F324" s="6" t="s">
        <v>685</v>
      </c>
      <c r="G324" s="7" t="str">
        <f aca="false">HYPERLINK(CONCATENATE("http://crfop.gdos.gov.pl/CRFOP/widok/viewpomnikprzyrody.jsf?fop=","PL.ZIPOP.1393.PP.1005022.931"),"(kliknij lub Ctrl+kliknij)")</f>
        <v>(kliknij lub Ctrl+kliknij)</v>
      </c>
      <c r="H324" s="0" t="s">
        <v>689</v>
      </c>
    </row>
    <row r="325" customFormat="false" ht="12.8" hidden="false" customHeight="false" outlineLevel="0" collapsed="false">
      <c r="A325" s="1" t="s">
        <v>569</v>
      </c>
      <c r="C325" s="3" t="s">
        <v>690</v>
      </c>
      <c r="D325" s="4" t="s">
        <v>571</v>
      </c>
      <c r="F325" s="6" t="s">
        <v>691</v>
      </c>
      <c r="G325" s="7" t="str">
        <f aca="false">HYPERLINK(CONCATENATE("http://crfop.gdos.gov.pl/CRFOP/widok/viewpomnikprzyrody.jsf?fop=","PL.ZIPOP.1393.PP.1005022.932"),"(kliknij lub Ctrl+kliknij)")</f>
        <v>(kliknij lub Ctrl+kliknij)</v>
      </c>
      <c r="H325" s="0" t="s">
        <v>689</v>
      </c>
    </row>
    <row r="326" customFormat="false" ht="12.8" hidden="false" customHeight="false" outlineLevel="0" collapsed="false">
      <c r="A326" s="1" t="s">
        <v>569</v>
      </c>
      <c r="C326" s="3" t="s">
        <v>690</v>
      </c>
      <c r="D326" s="4" t="s">
        <v>571</v>
      </c>
      <c r="F326" s="6" t="s">
        <v>691</v>
      </c>
      <c r="G326" s="7" t="str">
        <f aca="false">HYPERLINK(CONCATENATE("http://crfop.gdos.gov.pl/CRFOP/widok/viewpomnikprzyrody.jsf?fop=","PL.ZIPOP.1393.PP.1005022.933"),"(kliknij lub Ctrl+kliknij)")</f>
        <v>(kliknij lub Ctrl+kliknij)</v>
      </c>
      <c r="H326" s="0" t="s">
        <v>689</v>
      </c>
    </row>
    <row r="327" customFormat="false" ht="12.8" hidden="false" customHeight="false" outlineLevel="0" collapsed="false">
      <c r="A327" s="1" t="s">
        <v>569</v>
      </c>
      <c r="C327" s="3" t="s">
        <v>684</v>
      </c>
      <c r="D327" s="4" t="s">
        <v>571</v>
      </c>
      <c r="F327" s="6" t="s">
        <v>685</v>
      </c>
      <c r="G327" s="7" t="str">
        <f aca="false">HYPERLINK(CONCATENATE("http://crfop.gdos.gov.pl/CRFOP/widok/viewpomnikprzyrody.jsf?fop=","PL.ZIPOP.1393.PP.1005022.934"),"(kliknij lub Ctrl+kliknij)")</f>
        <v>(kliknij lub Ctrl+kliknij)</v>
      </c>
      <c r="H327" s="0" t="s">
        <v>689</v>
      </c>
    </row>
    <row r="328" customFormat="false" ht="12.8" hidden="false" customHeight="false" outlineLevel="0" collapsed="false">
      <c r="A328" s="1" t="s">
        <v>569</v>
      </c>
      <c r="C328" s="3" t="s">
        <v>684</v>
      </c>
      <c r="D328" s="4" t="s">
        <v>571</v>
      </c>
      <c r="F328" s="6" t="s">
        <v>685</v>
      </c>
      <c r="G328" s="7" t="str">
        <f aca="false">HYPERLINK(CONCATENATE("http://crfop.gdos.gov.pl/CRFOP/widok/viewpomnikprzyrody.jsf?fop=","PL.ZIPOP.1393.PP.1005022.935"),"(kliknij lub Ctrl+kliknij)")</f>
        <v>(kliknij lub Ctrl+kliknij)</v>
      </c>
      <c r="H328" s="0" t="s">
        <v>689</v>
      </c>
    </row>
    <row r="329" customFormat="false" ht="12.8" hidden="false" customHeight="false" outlineLevel="0" collapsed="false">
      <c r="A329" s="1" t="s">
        <v>569</v>
      </c>
      <c r="C329" s="3" t="s">
        <v>692</v>
      </c>
      <c r="D329" s="4" t="s">
        <v>571</v>
      </c>
      <c r="F329" s="6" t="s">
        <v>693</v>
      </c>
      <c r="G329" s="7" t="str">
        <f aca="false">HYPERLINK(CONCATENATE("http://crfop.gdos.gov.pl/CRFOP/widok/viewpomnikprzyrody.jsf?fop=","PL.ZIPOP.1393.PP.1005022.936"),"(kliknij lub Ctrl+kliknij)")</f>
        <v>(kliknij lub Ctrl+kliknij)</v>
      </c>
      <c r="H329" s="0" t="s">
        <v>689</v>
      </c>
    </row>
    <row r="330" customFormat="false" ht="12.8" hidden="false" customHeight="false" outlineLevel="0" collapsed="false">
      <c r="A330" s="1" t="s">
        <v>569</v>
      </c>
      <c r="C330" s="3" t="s">
        <v>692</v>
      </c>
      <c r="D330" s="4" t="s">
        <v>571</v>
      </c>
      <c r="F330" s="6" t="s">
        <v>693</v>
      </c>
      <c r="G330" s="7" t="str">
        <f aca="false">HYPERLINK(CONCATENATE("http://crfop.gdos.gov.pl/CRFOP/widok/viewpomnikprzyrody.jsf?fop=","PL.ZIPOP.1393.PP.1005022.937"),"(kliknij lub Ctrl+kliknij)")</f>
        <v>(kliknij lub Ctrl+kliknij)</v>
      </c>
      <c r="H330" s="0" t="s">
        <v>689</v>
      </c>
    </row>
    <row r="331" customFormat="false" ht="12.8" hidden="false" customHeight="false" outlineLevel="0" collapsed="false">
      <c r="A331" s="1" t="s">
        <v>569</v>
      </c>
      <c r="C331" s="3" t="s">
        <v>692</v>
      </c>
      <c r="D331" s="4" t="s">
        <v>571</v>
      </c>
      <c r="F331" s="6" t="s">
        <v>693</v>
      </c>
      <c r="G331" s="7" t="str">
        <f aca="false">HYPERLINK(CONCATENATE("http://crfop.gdos.gov.pl/CRFOP/widok/viewpomnikprzyrody.jsf?fop=","PL.ZIPOP.1393.PP.1005022.938"),"(kliknij lub Ctrl+kliknij)")</f>
        <v>(kliknij lub Ctrl+kliknij)</v>
      </c>
      <c r="H331" s="0" t="s">
        <v>689</v>
      </c>
    </row>
    <row r="332" customFormat="false" ht="12.8" hidden="false" customHeight="false" outlineLevel="0" collapsed="false">
      <c r="A332" s="1" t="s">
        <v>569</v>
      </c>
      <c r="C332" s="3" t="s">
        <v>692</v>
      </c>
      <c r="D332" s="4" t="s">
        <v>571</v>
      </c>
      <c r="F332" s="6" t="s">
        <v>693</v>
      </c>
      <c r="G332" s="7" t="str">
        <f aca="false">HYPERLINK(CONCATENATE("http://crfop.gdos.gov.pl/CRFOP/widok/viewpomnikprzyrody.jsf?fop=","PL.ZIPOP.1393.PP.1005022.939"),"(kliknij lub Ctrl+kliknij)")</f>
        <v>(kliknij lub Ctrl+kliknij)</v>
      </c>
      <c r="H332" s="0" t="s">
        <v>689</v>
      </c>
    </row>
    <row r="333" customFormat="false" ht="12.8" hidden="false" customHeight="false" outlineLevel="0" collapsed="false">
      <c r="A333" s="1" t="s">
        <v>569</v>
      </c>
      <c r="C333" s="3" t="s">
        <v>692</v>
      </c>
      <c r="D333" s="4" t="s">
        <v>571</v>
      </c>
      <c r="F333" s="6" t="s">
        <v>693</v>
      </c>
      <c r="G333" s="7" t="str">
        <f aca="false">HYPERLINK(CONCATENATE("http://crfop.gdos.gov.pl/CRFOP/widok/viewpomnikprzyrody.jsf?fop=","PL.ZIPOP.1393.PP.1005022.940"),"(kliknij lub Ctrl+kliknij)")</f>
        <v>(kliknij lub Ctrl+kliknij)</v>
      </c>
      <c r="H333" s="0" t="s">
        <v>689</v>
      </c>
    </row>
    <row r="334" customFormat="false" ht="12.8" hidden="false" customHeight="false" outlineLevel="0" collapsed="false">
      <c r="A334" s="1" t="s">
        <v>569</v>
      </c>
      <c r="C334" s="3" t="s">
        <v>692</v>
      </c>
      <c r="D334" s="4" t="s">
        <v>571</v>
      </c>
      <c r="F334" s="6" t="s">
        <v>693</v>
      </c>
      <c r="G334" s="7" t="str">
        <f aca="false">HYPERLINK(CONCATENATE("http://crfop.gdos.gov.pl/CRFOP/widok/viewpomnikprzyrody.jsf?fop=","PL.ZIPOP.1393.PP.1005022.941"),"(kliknij lub Ctrl+kliknij)")</f>
        <v>(kliknij lub Ctrl+kliknij)</v>
      </c>
      <c r="H334" s="0" t="s">
        <v>689</v>
      </c>
    </row>
    <row r="335" customFormat="false" ht="12.8" hidden="false" customHeight="false" outlineLevel="0" collapsed="false">
      <c r="A335" s="1" t="s">
        <v>569</v>
      </c>
      <c r="B335" s="2" t="s">
        <v>694</v>
      </c>
      <c r="C335" s="3" t="s">
        <v>608</v>
      </c>
      <c r="D335" s="4" t="s">
        <v>571</v>
      </c>
      <c r="F335" s="6" t="s">
        <v>695</v>
      </c>
      <c r="G335" s="7" t="str">
        <f aca="false">HYPERLINK(CONCATENATE("http://crfop.gdos.gov.pl/CRFOP/widok/viewpomnikprzyrody.jsf?fop=","PL.ZIPOP.1393.PP.1005052.925"),"(kliknij lub Ctrl+kliknij)")</f>
        <v>(kliknij lub Ctrl+kliknij)</v>
      </c>
      <c r="H335" s="0" t="s">
        <v>696</v>
      </c>
    </row>
    <row r="336" customFormat="false" ht="12.8" hidden="false" customHeight="false" outlineLevel="0" collapsed="false">
      <c r="A336" s="1" t="s">
        <v>569</v>
      </c>
      <c r="C336" s="3" t="s">
        <v>697</v>
      </c>
      <c r="D336" s="4" t="s">
        <v>571</v>
      </c>
      <c r="F336" s="6" t="s">
        <v>698</v>
      </c>
      <c r="G336" s="7" t="str">
        <f aca="false">HYPERLINK(CONCATENATE("http://crfop.gdos.gov.pl/CRFOP/widok/viewpomnikprzyrody.jsf?fop=","PL.ZIPOP.1393.PP.1005082.926"),"(kliknij lub Ctrl+kliknij)")</f>
        <v>(kliknij lub Ctrl+kliknij)</v>
      </c>
      <c r="H336" s="0" t="s">
        <v>699</v>
      </c>
    </row>
    <row r="337" customFormat="false" ht="12.8" hidden="false" customHeight="false" outlineLevel="0" collapsed="false">
      <c r="A337" s="1" t="s">
        <v>569</v>
      </c>
      <c r="C337" s="3" t="s">
        <v>697</v>
      </c>
      <c r="D337" s="4" t="s">
        <v>571</v>
      </c>
      <c r="F337" s="6" t="s">
        <v>698</v>
      </c>
      <c r="G337" s="7" t="str">
        <f aca="false">HYPERLINK(CONCATENATE("http://crfop.gdos.gov.pl/CRFOP/widok/viewpomnikprzyrody.jsf?fop=","PL.ZIPOP.1393.PP.1005082.928"),"(kliknij lub Ctrl+kliknij)")</f>
        <v>(kliknij lub Ctrl+kliknij)</v>
      </c>
      <c r="H337" s="0" t="s">
        <v>699</v>
      </c>
    </row>
    <row r="338" customFormat="false" ht="12.8" hidden="false" customHeight="false" outlineLevel="0" collapsed="false">
      <c r="A338" s="1" t="s">
        <v>569</v>
      </c>
      <c r="C338" s="3" t="s">
        <v>697</v>
      </c>
      <c r="D338" s="4" t="s">
        <v>571</v>
      </c>
      <c r="F338" s="6" t="s">
        <v>698</v>
      </c>
      <c r="G338" s="7" t="str">
        <f aca="false">HYPERLINK(CONCATENATE("http://crfop.gdos.gov.pl/CRFOP/widok/viewpomnikprzyrody.jsf?fop=","PL.ZIPOP.1393.PP.1005082.929"),"(kliknij lub Ctrl+kliknij)")</f>
        <v>(kliknij lub Ctrl+kliknij)</v>
      </c>
      <c r="H338" s="0" t="s">
        <v>699</v>
      </c>
    </row>
    <row r="339" customFormat="false" ht="12.8" hidden="false" customHeight="false" outlineLevel="0" collapsed="false">
      <c r="A339" s="1" t="s">
        <v>569</v>
      </c>
      <c r="C339" s="3" t="s">
        <v>687</v>
      </c>
      <c r="D339" s="4" t="s">
        <v>571</v>
      </c>
      <c r="F339" s="6" t="s">
        <v>688</v>
      </c>
      <c r="G339" s="7" t="str">
        <f aca="false">HYPERLINK(CONCATENATE("http://crfop.gdos.gov.pl/CRFOP/widok/viewpomnikprzyrody.jsf?fop=","PL.ZIPOP.1393.PP.1005092.918"),"(kliknij lub Ctrl+kliknij)")</f>
        <v>(kliknij lub Ctrl+kliknij)</v>
      </c>
      <c r="H339" s="0" t="s">
        <v>490</v>
      </c>
    </row>
    <row r="340" customFormat="false" ht="12.8" hidden="false" customHeight="false" outlineLevel="0" collapsed="false">
      <c r="A340" s="1" t="s">
        <v>569</v>
      </c>
      <c r="C340" s="3" t="s">
        <v>687</v>
      </c>
      <c r="D340" s="4" t="s">
        <v>571</v>
      </c>
      <c r="F340" s="6" t="s">
        <v>688</v>
      </c>
      <c r="G340" s="7" t="str">
        <f aca="false">HYPERLINK(CONCATENATE("http://crfop.gdos.gov.pl/CRFOP/widok/viewpomnikprzyrody.jsf?fop=","PL.ZIPOP.1393.PP.1005092.920"),"(kliknij lub Ctrl+kliknij)")</f>
        <v>(kliknij lub Ctrl+kliknij)</v>
      </c>
      <c r="H340" s="0" t="s">
        <v>490</v>
      </c>
    </row>
    <row r="341" customFormat="false" ht="12.8" hidden="false" customHeight="false" outlineLevel="0" collapsed="false">
      <c r="A341" s="1" t="s">
        <v>569</v>
      </c>
      <c r="C341" s="3" t="s">
        <v>687</v>
      </c>
      <c r="D341" s="4" t="s">
        <v>571</v>
      </c>
      <c r="F341" s="6" t="s">
        <v>688</v>
      </c>
      <c r="G341" s="7" t="str">
        <f aca="false">HYPERLINK(CONCATENATE("http://crfop.gdos.gov.pl/CRFOP/widok/viewpomnikprzyrody.jsf?fop=","PL.ZIPOP.1393.PP.1005092.921"),"(kliknij lub Ctrl+kliknij)")</f>
        <v>(kliknij lub Ctrl+kliknij)</v>
      </c>
      <c r="H341" s="0" t="s">
        <v>490</v>
      </c>
    </row>
    <row r="342" customFormat="false" ht="12.8" hidden="false" customHeight="false" outlineLevel="0" collapsed="false">
      <c r="A342" s="1" t="s">
        <v>569</v>
      </c>
      <c r="C342" s="3" t="s">
        <v>700</v>
      </c>
      <c r="D342" s="4" t="s">
        <v>571</v>
      </c>
      <c r="F342" s="6" t="s">
        <v>701</v>
      </c>
      <c r="G342" s="7" t="str">
        <f aca="false">HYPERLINK(CONCATENATE("http://crfop.gdos.gov.pl/CRFOP/widok/viewpomnikprzyrody.jsf?fop=","PL.ZIPOP.1393.PP.1005092.922"),"(kliknij lub Ctrl+kliknij)")</f>
        <v>(kliknij lub Ctrl+kliknij)</v>
      </c>
      <c r="H342" s="0" t="s">
        <v>490</v>
      </c>
    </row>
    <row r="343" customFormat="false" ht="12.8" hidden="false" customHeight="false" outlineLevel="0" collapsed="false">
      <c r="A343" s="1" t="s">
        <v>569</v>
      </c>
      <c r="C343" s="3" t="s">
        <v>702</v>
      </c>
      <c r="D343" s="4" t="s">
        <v>571</v>
      </c>
      <c r="F343" s="6" t="s">
        <v>703</v>
      </c>
      <c r="G343" s="7" t="str">
        <f aca="false">HYPERLINK(CONCATENATE("http://crfop.gdos.gov.pl/CRFOP/widok/viewpomnikprzyrody.jsf?fop=","PL.ZIPOP.1393.PP.1005102.943"),"(kliknij lub Ctrl+kliknij)")</f>
        <v>(kliknij lub Ctrl+kliknij)</v>
      </c>
      <c r="H343" s="0" t="s">
        <v>704</v>
      </c>
    </row>
    <row r="344" customFormat="false" ht="12.8" hidden="false" customHeight="false" outlineLevel="0" collapsed="false">
      <c r="A344" s="1" t="s">
        <v>569</v>
      </c>
      <c r="C344" s="3" t="s">
        <v>705</v>
      </c>
      <c r="D344" s="4" t="s">
        <v>571</v>
      </c>
      <c r="F344" s="6" t="s">
        <v>706</v>
      </c>
      <c r="G344" s="7" t="str">
        <f aca="false">HYPERLINK(CONCATENATE("http://crfop.gdos.gov.pl/CRFOP/widok/viewpomnikprzyrody.jsf?fop=","PL.ZIPOP.1393.PP.1005102.944"),"(kliknij lub Ctrl+kliknij)")</f>
        <v>(kliknij lub Ctrl+kliknij)</v>
      </c>
      <c r="H344" s="0" t="s">
        <v>704</v>
      </c>
    </row>
    <row r="345" customFormat="false" ht="12.8" hidden="false" customHeight="false" outlineLevel="0" collapsed="false">
      <c r="A345" s="1" t="s">
        <v>569</v>
      </c>
      <c r="C345" s="3" t="s">
        <v>707</v>
      </c>
      <c r="D345" s="4" t="s">
        <v>571</v>
      </c>
      <c r="F345" s="6" t="s">
        <v>708</v>
      </c>
      <c r="G345" s="7" t="str">
        <f aca="false">HYPERLINK(CONCATENATE("http://crfop.gdos.gov.pl/CRFOP/widok/viewpomnikprzyrody.jsf?fop=","PL.ZIPOP.1393.PP.1006022.2440"),"(kliknij lub Ctrl+kliknij)")</f>
        <v>(kliknij lub Ctrl+kliknij)</v>
      </c>
      <c r="H345" s="0" t="s">
        <v>709</v>
      </c>
    </row>
    <row r="346" customFormat="false" ht="12.8" hidden="false" customHeight="false" outlineLevel="0" collapsed="false">
      <c r="A346" s="1" t="s">
        <v>569</v>
      </c>
      <c r="C346" s="3" t="s">
        <v>710</v>
      </c>
      <c r="D346" s="4" t="s">
        <v>571</v>
      </c>
      <c r="F346" s="6" t="s">
        <v>711</v>
      </c>
      <c r="G346" s="7" t="str">
        <f aca="false">HYPERLINK(CONCATENATE("http://crfop.gdos.gov.pl/CRFOP/widok/viewpomnikprzyrody.jsf?fop=","PL.ZIPOP.1393.PP.1006022.673"),"(kliknij lub Ctrl+kliknij)")</f>
        <v>(kliknij lub Ctrl+kliknij)</v>
      </c>
      <c r="H346" s="0" t="s">
        <v>709</v>
      </c>
    </row>
    <row r="347" customFormat="false" ht="12.8" hidden="false" customHeight="false" outlineLevel="0" collapsed="false">
      <c r="A347" s="1" t="s">
        <v>569</v>
      </c>
      <c r="C347" s="3" t="s">
        <v>707</v>
      </c>
      <c r="D347" s="4" t="s">
        <v>571</v>
      </c>
      <c r="F347" s="6" t="s">
        <v>708</v>
      </c>
      <c r="G347" s="7" t="str">
        <f aca="false">HYPERLINK(CONCATENATE("http://crfop.gdos.gov.pl/CRFOP/widok/viewpomnikprzyrody.jsf?fop=","PL.ZIPOP.1393.PP.1006022.674"),"(kliknij lub Ctrl+kliknij)")</f>
        <v>(kliknij lub Ctrl+kliknij)</v>
      </c>
      <c r="H347" s="0" t="s">
        <v>709</v>
      </c>
    </row>
    <row r="348" customFormat="false" ht="12.8" hidden="false" customHeight="false" outlineLevel="0" collapsed="false">
      <c r="A348" s="1" t="s">
        <v>569</v>
      </c>
      <c r="C348" s="3" t="s">
        <v>707</v>
      </c>
      <c r="D348" s="4" t="s">
        <v>571</v>
      </c>
      <c r="F348" s="6" t="s">
        <v>708</v>
      </c>
      <c r="G348" s="7" t="str">
        <f aca="false">HYPERLINK(CONCATENATE("http://crfop.gdos.gov.pl/CRFOP/widok/viewpomnikprzyrody.jsf?fop=","PL.ZIPOP.1393.PP.1006022.675"),"(kliknij lub Ctrl+kliknij)")</f>
        <v>(kliknij lub Ctrl+kliknij)</v>
      </c>
      <c r="H348" s="0" t="s">
        <v>709</v>
      </c>
    </row>
    <row r="349" customFormat="false" ht="12.8" hidden="false" customHeight="false" outlineLevel="0" collapsed="false">
      <c r="A349" s="1" t="s">
        <v>569</v>
      </c>
      <c r="C349" s="3" t="s">
        <v>707</v>
      </c>
      <c r="D349" s="4" t="s">
        <v>571</v>
      </c>
      <c r="F349" s="6" t="s">
        <v>708</v>
      </c>
      <c r="G349" s="7" t="str">
        <f aca="false">HYPERLINK(CONCATENATE("http://crfop.gdos.gov.pl/CRFOP/widok/viewpomnikprzyrody.jsf?fop=","PL.ZIPOP.1393.PP.1006022.677"),"(kliknij lub Ctrl+kliknij)")</f>
        <v>(kliknij lub Ctrl+kliknij)</v>
      </c>
      <c r="H349" s="0" t="s">
        <v>709</v>
      </c>
    </row>
    <row r="350" customFormat="false" ht="12.8" hidden="false" customHeight="false" outlineLevel="0" collapsed="false">
      <c r="A350" s="1" t="s">
        <v>569</v>
      </c>
      <c r="C350" s="3" t="s">
        <v>707</v>
      </c>
      <c r="D350" s="4" t="s">
        <v>571</v>
      </c>
      <c r="F350" s="6" t="s">
        <v>708</v>
      </c>
      <c r="G350" s="7" t="str">
        <f aca="false">HYPERLINK(CONCATENATE("http://crfop.gdos.gov.pl/CRFOP/widok/viewpomnikprzyrody.jsf?fop=","PL.ZIPOP.1393.PP.1006022.679"),"(kliknij lub Ctrl+kliknij)")</f>
        <v>(kliknij lub Ctrl+kliknij)</v>
      </c>
      <c r="H350" s="0" t="s">
        <v>709</v>
      </c>
    </row>
    <row r="351" customFormat="false" ht="12.8" hidden="false" customHeight="false" outlineLevel="0" collapsed="false">
      <c r="A351" s="1" t="s">
        <v>569</v>
      </c>
      <c r="C351" s="3" t="s">
        <v>707</v>
      </c>
      <c r="D351" s="4" t="s">
        <v>571</v>
      </c>
      <c r="F351" s="6" t="s">
        <v>708</v>
      </c>
      <c r="G351" s="7" t="str">
        <f aca="false">HYPERLINK(CONCATENATE("http://crfop.gdos.gov.pl/CRFOP/widok/viewpomnikprzyrody.jsf?fop=","PL.ZIPOP.1393.PP.1006022.680"),"(kliknij lub Ctrl+kliknij)")</f>
        <v>(kliknij lub Ctrl+kliknij)</v>
      </c>
      <c r="H351" s="0" t="s">
        <v>709</v>
      </c>
    </row>
    <row r="352" customFormat="false" ht="12.8" hidden="false" customHeight="false" outlineLevel="0" collapsed="false">
      <c r="A352" s="1" t="s">
        <v>569</v>
      </c>
      <c r="C352" s="3" t="s">
        <v>707</v>
      </c>
      <c r="D352" s="4" t="s">
        <v>571</v>
      </c>
      <c r="F352" s="6" t="s">
        <v>708</v>
      </c>
      <c r="G352" s="7" t="str">
        <f aca="false">HYPERLINK(CONCATENATE("http://crfop.gdos.gov.pl/CRFOP/widok/viewpomnikprzyrody.jsf?fop=","PL.ZIPOP.1393.PP.1006022.681"),"(kliknij lub Ctrl+kliknij)")</f>
        <v>(kliknij lub Ctrl+kliknij)</v>
      </c>
      <c r="H352" s="0" t="s">
        <v>709</v>
      </c>
    </row>
    <row r="353" customFormat="false" ht="12.8" hidden="false" customHeight="false" outlineLevel="0" collapsed="false">
      <c r="A353" s="1" t="s">
        <v>569</v>
      </c>
      <c r="C353" s="3" t="s">
        <v>707</v>
      </c>
      <c r="D353" s="4" t="s">
        <v>571</v>
      </c>
      <c r="F353" s="6" t="s">
        <v>708</v>
      </c>
      <c r="G353" s="7" t="str">
        <f aca="false">HYPERLINK(CONCATENATE("http://crfop.gdos.gov.pl/CRFOP/widok/viewpomnikprzyrody.jsf?fop=","PL.ZIPOP.1393.PP.1006022.682"),"(kliknij lub Ctrl+kliknij)")</f>
        <v>(kliknij lub Ctrl+kliknij)</v>
      </c>
      <c r="H353" s="0" t="s">
        <v>709</v>
      </c>
    </row>
    <row r="354" customFormat="false" ht="12.8" hidden="false" customHeight="false" outlineLevel="0" collapsed="false">
      <c r="A354" s="1" t="s">
        <v>569</v>
      </c>
      <c r="C354" s="3" t="s">
        <v>707</v>
      </c>
      <c r="D354" s="4" t="s">
        <v>571</v>
      </c>
      <c r="F354" s="6" t="s">
        <v>708</v>
      </c>
      <c r="G354" s="7" t="str">
        <f aca="false">HYPERLINK(CONCATENATE("http://crfop.gdos.gov.pl/CRFOP/widok/viewpomnikprzyrody.jsf?fop=","PL.ZIPOP.1393.PP.1006022.684"),"(kliknij lub Ctrl+kliknij)")</f>
        <v>(kliknij lub Ctrl+kliknij)</v>
      </c>
      <c r="H354" s="0" t="s">
        <v>709</v>
      </c>
    </row>
    <row r="355" customFormat="false" ht="12.8" hidden="false" customHeight="false" outlineLevel="0" collapsed="false">
      <c r="A355" s="1" t="s">
        <v>569</v>
      </c>
      <c r="C355" s="3" t="s">
        <v>707</v>
      </c>
      <c r="D355" s="4" t="s">
        <v>571</v>
      </c>
      <c r="F355" s="6" t="s">
        <v>708</v>
      </c>
      <c r="G355" s="7" t="str">
        <f aca="false">HYPERLINK(CONCATENATE("http://crfop.gdos.gov.pl/CRFOP/widok/viewpomnikprzyrody.jsf?fop=","PL.ZIPOP.1393.PP.1006022.686"),"(kliknij lub Ctrl+kliknij)")</f>
        <v>(kliknij lub Ctrl+kliknij)</v>
      </c>
      <c r="H355" s="0" t="s">
        <v>709</v>
      </c>
    </row>
    <row r="356" customFormat="false" ht="12.8" hidden="false" customHeight="false" outlineLevel="0" collapsed="false">
      <c r="A356" s="1" t="s">
        <v>569</v>
      </c>
      <c r="C356" s="3" t="s">
        <v>707</v>
      </c>
      <c r="D356" s="4" t="s">
        <v>571</v>
      </c>
      <c r="F356" s="6" t="s">
        <v>708</v>
      </c>
      <c r="G356" s="7" t="str">
        <f aca="false">HYPERLINK(CONCATENATE("http://crfop.gdos.gov.pl/CRFOP/widok/viewpomnikprzyrody.jsf?fop=","PL.ZIPOP.1393.PP.1006022.687"),"(kliknij lub Ctrl+kliknij)")</f>
        <v>(kliknij lub Ctrl+kliknij)</v>
      </c>
      <c r="H356" s="0" t="s">
        <v>709</v>
      </c>
    </row>
    <row r="357" customFormat="false" ht="12.8" hidden="false" customHeight="false" outlineLevel="0" collapsed="false">
      <c r="A357" s="1" t="s">
        <v>569</v>
      </c>
      <c r="C357" s="3" t="s">
        <v>710</v>
      </c>
      <c r="D357" s="4" t="s">
        <v>571</v>
      </c>
      <c r="F357" s="6" t="s">
        <v>711</v>
      </c>
      <c r="G357" s="7" t="str">
        <f aca="false">HYPERLINK(CONCATENATE("http://crfop.gdos.gov.pl/CRFOP/widok/viewpomnikprzyrody.jsf?fop=","PL.ZIPOP.1393.PP.1006032.696"),"(kliknij lub Ctrl+kliknij)")</f>
        <v>(kliknij lub Ctrl+kliknij)</v>
      </c>
      <c r="H357" s="0" t="s">
        <v>712</v>
      </c>
    </row>
    <row r="358" customFormat="false" ht="12.8" hidden="false" customHeight="false" outlineLevel="0" collapsed="false">
      <c r="A358" s="1" t="s">
        <v>569</v>
      </c>
      <c r="C358" s="3" t="s">
        <v>710</v>
      </c>
      <c r="D358" s="4" t="s">
        <v>571</v>
      </c>
      <c r="F358" s="6" t="s">
        <v>711</v>
      </c>
      <c r="G358" s="7" t="str">
        <f aca="false">HYPERLINK(CONCATENATE("http://crfop.gdos.gov.pl/CRFOP/widok/viewpomnikprzyrody.jsf?fop=","PL.ZIPOP.1393.PP.1006032.697"),"(kliknij lub Ctrl+kliknij)")</f>
        <v>(kliknij lub Ctrl+kliknij)</v>
      </c>
      <c r="H358" s="0" t="s">
        <v>712</v>
      </c>
    </row>
    <row r="359" customFormat="false" ht="12.8" hidden="false" customHeight="false" outlineLevel="0" collapsed="false">
      <c r="A359" s="1" t="s">
        <v>569</v>
      </c>
      <c r="C359" s="3" t="s">
        <v>710</v>
      </c>
      <c r="D359" s="4" t="s">
        <v>571</v>
      </c>
      <c r="F359" s="6" t="s">
        <v>711</v>
      </c>
      <c r="G359" s="7" t="str">
        <f aca="false">HYPERLINK(CONCATENATE("http://crfop.gdos.gov.pl/CRFOP/widok/viewpomnikprzyrody.jsf?fop=","PL.ZIPOP.1393.PP.1006032.698"),"(kliknij lub Ctrl+kliknij)")</f>
        <v>(kliknij lub Ctrl+kliknij)</v>
      </c>
      <c r="H359" s="0" t="s">
        <v>712</v>
      </c>
    </row>
    <row r="360" customFormat="false" ht="12.8" hidden="false" customHeight="false" outlineLevel="0" collapsed="false">
      <c r="A360" s="1" t="s">
        <v>569</v>
      </c>
      <c r="C360" s="3" t="s">
        <v>710</v>
      </c>
      <c r="D360" s="4" t="s">
        <v>571</v>
      </c>
      <c r="F360" s="6" t="s">
        <v>711</v>
      </c>
      <c r="G360" s="7" t="str">
        <f aca="false">HYPERLINK(CONCATENATE("http://crfop.gdos.gov.pl/CRFOP/widok/viewpomnikprzyrody.jsf?fop=","PL.ZIPOP.1393.PP.1006032.701"),"(kliknij lub Ctrl+kliknij)")</f>
        <v>(kliknij lub Ctrl+kliknij)</v>
      </c>
      <c r="H360" s="0" t="s">
        <v>712</v>
      </c>
    </row>
    <row r="361" customFormat="false" ht="12.8" hidden="false" customHeight="false" outlineLevel="0" collapsed="false">
      <c r="A361" s="1" t="s">
        <v>569</v>
      </c>
      <c r="C361" s="3" t="s">
        <v>710</v>
      </c>
      <c r="D361" s="4" t="s">
        <v>571</v>
      </c>
      <c r="F361" s="6" t="s">
        <v>711</v>
      </c>
      <c r="G361" s="7" t="str">
        <f aca="false">HYPERLINK(CONCATENATE("http://crfop.gdos.gov.pl/CRFOP/widok/viewpomnikprzyrody.jsf?fop=","PL.ZIPOP.1393.PP.1006032.702"),"(kliknij lub Ctrl+kliknij)")</f>
        <v>(kliknij lub Ctrl+kliknij)</v>
      </c>
      <c r="H361" s="0" t="s">
        <v>712</v>
      </c>
    </row>
    <row r="362" customFormat="false" ht="12.8" hidden="false" customHeight="false" outlineLevel="0" collapsed="false">
      <c r="A362" s="1" t="s">
        <v>569</v>
      </c>
      <c r="C362" s="3" t="s">
        <v>713</v>
      </c>
      <c r="D362" s="4" t="s">
        <v>571</v>
      </c>
      <c r="F362" s="6" t="s">
        <v>714</v>
      </c>
      <c r="G362" s="7" t="str">
        <f aca="false">HYPERLINK(CONCATENATE("http://crfop.gdos.gov.pl/CRFOP/widok/viewpomnikprzyrody.jsf?fop=","PL.ZIPOP.1393.PP.1006032.703"),"(kliknij lub Ctrl+kliknij)")</f>
        <v>(kliknij lub Ctrl+kliknij)</v>
      </c>
      <c r="H362" s="0" t="s">
        <v>712</v>
      </c>
    </row>
    <row r="363" customFormat="false" ht="12.8" hidden="false" customHeight="false" outlineLevel="0" collapsed="false">
      <c r="A363" s="1" t="s">
        <v>569</v>
      </c>
      <c r="C363" s="3" t="s">
        <v>713</v>
      </c>
      <c r="D363" s="4" t="s">
        <v>571</v>
      </c>
      <c r="F363" s="6" t="s">
        <v>714</v>
      </c>
      <c r="G363" s="7" t="str">
        <f aca="false">HYPERLINK(CONCATENATE("http://crfop.gdos.gov.pl/CRFOP/widok/viewpomnikprzyrody.jsf?fop=","PL.ZIPOP.1393.PP.1006032.704"),"(kliknij lub Ctrl+kliknij)")</f>
        <v>(kliknij lub Ctrl+kliknij)</v>
      </c>
      <c r="H363" s="0" t="s">
        <v>712</v>
      </c>
    </row>
    <row r="364" customFormat="false" ht="12.8" hidden="false" customHeight="false" outlineLevel="0" collapsed="false">
      <c r="A364" s="1" t="s">
        <v>569</v>
      </c>
      <c r="C364" s="3" t="s">
        <v>713</v>
      </c>
      <c r="D364" s="4" t="s">
        <v>571</v>
      </c>
      <c r="F364" s="6" t="s">
        <v>714</v>
      </c>
      <c r="G364" s="7" t="str">
        <f aca="false">HYPERLINK(CONCATENATE("http://crfop.gdos.gov.pl/CRFOP/widok/viewpomnikprzyrody.jsf?fop=","PL.ZIPOP.1393.PP.1006032.706"),"(kliknij lub Ctrl+kliknij)")</f>
        <v>(kliknij lub Ctrl+kliknij)</v>
      </c>
      <c r="H364" s="0" t="s">
        <v>712</v>
      </c>
    </row>
    <row r="365" customFormat="false" ht="12.8" hidden="false" customHeight="false" outlineLevel="0" collapsed="false">
      <c r="A365" s="1" t="s">
        <v>569</v>
      </c>
      <c r="C365" s="3" t="s">
        <v>570</v>
      </c>
      <c r="D365" s="4" t="s">
        <v>571</v>
      </c>
      <c r="F365" s="6" t="s">
        <v>572</v>
      </c>
      <c r="G365" s="7" t="str">
        <f aca="false">HYPERLINK(CONCATENATE("http://crfop.gdos.gov.pl/CRFOP/widok/viewpomnikprzyrody.jsf?fop=","PL.ZIPOP.1393.PP.1006073.744"),"(kliknij lub Ctrl+kliknij)")</f>
        <v>(kliknij lub Ctrl+kliknij)</v>
      </c>
      <c r="H365" s="0" t="s">
        <v>715</v>
      </c>
    </row>
    <row r="366" customFormat="false" ht="12.8" hidden="false" customHeight="false" outlineLevel="0" collapsed="false">
      <c r="A366" s="1" t="s">
        <v>569</v>
      </c>
      <c r="C366" s="3" t="s">
        <v>570</v>
      </c>
      <c r="D366" s="4" t="s">
        <v>571</v>
      </c>
      <c r="F366" s="6" t="s">
        <v>572</v>
      </c>
      <c r="G366" s="7" t="str">
        <f aca="false">HYPERLINK(CONCATENATE("http://crfop.gdos.gov.pl/CRFOP/widok/viewpomnikprzyrody.jsf?fop=","PL.ZIPOP.1393.PP.1006073.745"),"(kliknij lub Ctrl+kliknij)")</f>
        <v>(kliknij lub Ctrl+kliknij)</v>
      </c>
      <c r="H366" s="0" t="s">
        <v>715</v>
      </c>
    </row>
    <row r="367" customFormat="false" ht="12.8" hidden="false" customHeight="false" outlineLevel="0" collapsed="false">
      <c r="A367" s="1" t="s">
        <v>569</v>
      </c>
      <c r="C367" s="3" t="s">
        <v>570</v>
      </c>
      <c r="D367" s="4" t="s">
        <v>571</v>
      </c>
      <c r="F367" s="6" t="s">
        <v>572</v>
      </c>
      <c r="G367" s="7" t="str">
        <f aca="false">HYPERLINK(CONCATENATE("http://crfop.gdos.gov.pl/CRFOP/widok/viewpomnikprzyrody.jsf?fop=","PL.ZIPOP.1393.PP.1006073.746"),"(kliknij lub Ctrl+kliknij)")</f>
        <v>(kliknij lub Ctrl+kliknij)</v>
      </c>
      <c r="H367" s="0" t="s">
        <v>715</v>
      </c>
    </row>
    <row r="368" customFormat="false" ht="12.8" hidden="false" customHeight="false" outlineLevel="0" collapsed="false">
      <c r="A368" s="1" t="s">
        <v>569</v>
      </c>
      <c r="C368" s="3" t="s">
        <v>570</v>
      </c>
      <c r="D368" s="4" t="s">
        <v>571</v>
      </c>
      <c r="F368" s="6" t="s">
        <v>572</v>
      </c>
      <c r="G368" s="7" t="str">
        <f aca="false">HYPERLINK(CONCATENATE("http://crfop.gdos.gov.pl/CRFOP/widok/viewpomnikprzyrody.jsf?fop=","PL.ZIPOP.1393.PP.1006073.747"),"(kliknij lub Ctrl+kliknij)")</f>
        <v>(kliknij lub Ctrl+kliknij)</v>
      </c>
      <c r="H368" s="0" t="s">
        <v>715</v>
      </c>
    </row>
    <row r="369" customFormat="false" ht="12.8" hidden="false" customHeight="false" outlineLevel="0" collapsed="false">
      <c r="A369" s="1" t="s">
        <v>569</v>
      </c>
      <c r="C369" s="3" t="s">
        <v>570</v>
      </c>
      <c r="D369" s="4" t="s">
        <v>571</v>
      </c>
      <c r="F369" s="6" t="s">
        <v>572</v>
      </c>
      <c r="G369" s="7" t="str">
        <f aca="false">HYPERLINK(CONCATENATE("http://crfop.gdos.gov.pl/CRFOP/widok/viewpomnikprzyrody.jsf?fop=","PL.ZIPOP.1393.PP.1006073.748"),"(kliknij lub Ctrl+kliknij)")</f>
        <v>(kliknij lub Ctrl+kliknij)</v>
      </c>
      <c r="H369" s="0" t="s">
        <v>715</v>
      </c>
    </row>
    <row r="370" customFormat="false" ht="12.8" hidden="false" customHeight="false" outlineLevel="0" collapsed="false">
      <c r="A370" s="1" t="s">
        <v>569</v>
      </c>
      <c r="C370" s="3" t="s">
        <v>570</v>
      </c>
      <c r="D370" s="4" t="s">
        <v>571</v>
      </c>
      <c r="F370" s="6" t="s">
        <v>572</v>
      </c>
      <c r="G370" s="7" t="str">
        <f aca="false">HYPERLINK(CONCATENATE("http://crfop.gdos.gov.pl/CRFOP/widok/viewpomnikprzyrody.jsf?fop=","PL.ZIPOP.1393.PP.1006073.749"),"(kliknij lub Ctrl+kliknij)")</f>
        <v>(kliknij lub Ctrl+kliknij)</v>
      </c>
      <c r="H370" s="0" t="s">
        <v>715</v>
      </c>
    </row>
    <row r="371" customFormat="false" ht="12.8" hidden="false" customHeight="false" outlineLevel="0" collapsed="false">
      <c r="A371" s="1" t="s">
        <v>569</v>
      </c>
      <c r="C371" s="3" t="s">
        <v>570</v>
      </c>
      <c r="D371" s="4" t="s">
        <v>571</v>
      </c>
      <c r="F371" s="6" t="s">
        <v>572</v>
      </c>
      <c r="G371" s="7" t="str">
        <f aca="false">HYPERLINK(CONCATENATE("http://crfop.gdos.gov.pl/CRFOP/widok/viewpomnikprzyrody.jsf?fop=","PL.ZIPOP.1393.PP.1006073.750"),"(kliknij lub Ctrl+kliknij)")</f>
        <v>(kliknij lub Ctrl+kliknij)</v>
      </c>
      <c r="H371" s="0" t="s">
        <v>715</v>
      </c>
    </row>
    <row r="372" customFormat="false" ht="12.8" hidden="false" customHeight="false" outlineLevel="0" collapsed="false">
      <c r="A372" s="1" t="s">
        <v>569</v>
      </c>
      <c r="C372" s="3" t="s">
        <v>570</v>
      </c>
      <c r="D372" s="4" t="s">
        <v>571</v>
      </c>
      <c r="F372" s="6" t="s">
        <v>572</v>
      </c>
      <c r="G372" s="7" t="str">
        <f aca="false">HYPERLINK(CONCATENATE("http://crfop.gdos.gov.pl/CRFOP/widok/viewpomnikprzyrody.jsf?fop=","PL.ZIPOP.1393.PP.1006073.751"),"(kliknij lub Ctrl+kliknij)")</f>
        <v>(kliknij lub Ctrl+kliknij)</v>
      </c>
      <c r="H372" s="0" t="s">
        <v>715</v>
      </c>
    </row>
    <row r="373" customFormat="false" ht="12.8" hidden="false" customHeight="false" outlineLevel="0" collapsed="false">
      <c r="A373" s="1" t="s">
        <v>569</v>
      </c>
      <c r="C373" s="3" t="s">
        <v>574</v>
      </c>
      <c r="D373" s="4" t="s">
        <v>571</v>
      </c>
      <c r="F373" s="6" t="s">
        <v>575</v>
      </c>
      <c r="G373" s="7" t="str">
        <f aca="false">HYPERLINK(CONCATENATE("http://crfop.gdos.gov.pl/CRFOP/widok/viewpomnikprzyrody.jsf?fop=","PL.ZIPOP.1393.PP.1006073.752"),"(kliknij lub Ctrl+kliknij)")</f>
        <v>(kliknij lub Ctrl+kliknij)</v>
      </c>
      <c r="H373" s="0" t="s">
        <v>715</v>
      </c>
    </row>
    <row r="374" customFormat="false" ht="12.8" hidden="false" customHeight="false" outlineLevel="0" collapsed="false">
      <c r="A374" s="1" t="s">
        <v>569</v>
      </c>
      <c r="C374" s="3" t="s">
        <v>574</v>
      </c>
      <c r="D374" s="4" t="s">
        <v>571</v>
      </c>
      <c r="F374" s="6" t="s">
        <v>575</v>
      </c>
      <c r="G374" s="7" t="str">
        <f aca="false">HYPERLINK(CONCATENATE("http://crfop.gdos.gov.pl/CRFOP/widok/viewpomnikprzyrody.jsf?fop=","PL.ZIPOP.1393.PP.1006073.755"),"(kliknij lub Ctrl+kliknij)")</f>
        <v>(kliknij lub Ctrl+kliknij)</v>
      </c>
      <c r="H374" s="0" t="s">
        <v>715</v>
      </c>
    </row>
    <row r="375" customFormat="false" ht="12.8" hidden="false" customHeight="false" outlineLevel="0" collapsed="false">
      <c r="A375" s="1" t="s">
        <v>569</v>
      </c>
      <c r="C375" s="3" t="s">
        <v>591</v>
      </c>
      <c r="D375" s="4" t="s">
        <v>571</v>
      </c>
      <c r="F375" s="6" t="s">
        <v>592</v>
      </c>
      <c r="G375" s="7" t="str">
        <f aca="false">HYPERLINK(CONCATENATE("http://crfop.gdos.gov.pl/CRFOP/widok/viewpomnikprzyrody.jsf?fop=","PL.ZIPOP.1393.PP.1006073.756"),"(kliknij lub Ctrl+kliknij)")</f>
        <v>(kliknij lub Ctrl+kliknij)</v>
      </c>
      <c r="H375" s="0" t="s">
        <v>715</v>
      </c>
    </row>
    <row r="376" customFormat="false" ht="12.8" hidden="false" customHeight="false" outlineLevel="0" collapsed="false">
      <c r="A376" s="1" t="s">
        <v>569</v>
      </c>
      <c r="C376" s="3" t="s">
        <v>716</v>
      </c>
      <c r="D376" s="4" t="s">
        <v>571</v>
      </c>
      <c r="F376" s="6" t="s">
        <v>717</v>
      </c>
      <c r="G376" s="7" t="str">
        <f aca="false">HYPERLINK(CONCATENATE("http://crfop.gdos.gov.pl/CRFOP/widok/viewpomnikprzyrody.jsf?fop=","PL.ZIPOP.1393.PP.1006073.757"),"(kliknij lub Ctrl+kliknij)")</f>
        <v>(kliknij lub Ctrl+kliknij)</v>
      </c>
      <c r="H376" s="0" t="s">
        <v>715</v>
      </c>
    </row>
    <row r="377" customFormat="false" ht="12.8" hidden="false" customHeight="false" outlineLevel="0" collapsed="false">
      <c r="A377" s="1" t="s">
        <v>569</v>
      </c>
      <c r="C377" s="3" t="s">
        <v>716</v>
      </c>
      <c r="D377" s="4" t="s">
        <v>571</v>
      </c>
      <c r="F377" s="6" t="s">
        <v>717</v>
      </c>
      <c r="G377" s="7" t="str">
        <f aca="false">HYPERLINK(CONCATENATE("http://crfop.gdos.gov.pl/CRFOP/widok/viewpomnikprzyrody.jsf?fop=","PL.ZIPOP.1393.PP.1006073.759"),"(kliknij lub Ctrl+kliknij)")</f>
        <v>(kliknij lub Ctrl+kliknij)</v>
      </c>
      <c r="H377" s="0" t="s">
        <v>715</v>
      </c>
    </row>
    <row r="378" customFormat="false" ht="12.8" hidden="false" customHeight="false" outlineLevel="0" collapsed="false">
      <c r="A378" s="1" t="s">
        <v>569</v>
      </c>
      <c r="C378" s="3" t="s">
        <v>710</v>
      </c>
      <c r="D378" s="4" t="s">
        <v>571</v>
      </c>
      <c r="F378" s="6" t="s">
        <v>711</v>
      </c>
      <c r="G378" s="7" t="str">
        <f aca="false">HYPERLINK(CONCATENATE("http://crfop.gdos.gov.pl/CRFOP/widok/viewpomnikprzyrody.jsf?fop=","PL.ZIPOP.1393.PP.1006082.707"),"(kliknij lub Ctrl+kliknij)")</f>
        <v>(kliknij lub Ctrl+kliknij)</v>
      </c>
      <c r="H378" s="0" t="s">
        <v>718</v>
      </c>
    </row>
    <row r="379" customFormat="false" ht="12.8" hidden="false" customHeight="false" outlineLevel="0" collapsed="false">
      <c r="A379" s="1" t="s">
        <v>569</v>
      </c>
      <c r="C379" s="3" t="s">
        <v>710</v>
      </c>
      <c r="D379" s="4" t="s">
        <v>571</v>
      </c>
      <c r="F379" s="6" t="s">
        <v>711</v>
      </c>
      <c r="G379" s="7" t="str">
        <f aca="false">HYPERLINK(CONCATENATE("http://crfop.gdos.gov.pl/CRFOP/widok/viewpomnikprzyrody.jsf?fop=","PL.ZIPOP.1393.PP.1006082.708"),"(kliknij lub Ctrl+kliknij)")</f>
        <v>(kliknij lub Ctrl+kliknij)</v>
      </c>
      <c r="H379" s="0" t="s">
        <v>718</v>
      </c>
    </row>
    <row r="380" customFormat="false" ht="12.8" hidden="false" customHeight="false" outlineLevel="0" collapsed="false">
      <c r="A380" s="1" t="s">
        <v>569</v>
      </c>
      <c r="C380" s="3" t="s">
        <v>710</v>
      </c>
      <c r="D380" s="4" t="s">
        <v>571</v>
      </c>
      <c r="F380" s="6" t="s">
        <v>711</v>
      </c>
      <c r="G380" s="7" t="str">
        <f aca="false">HYPERLINK(CONCATENATE("http://crfop.gdos.gov.pl/CRFOP/widok/viewpomnikprzyrody.jsf?fop=","PL.ZIPOP.1393.PP.1006082.709"),"(kliknij lub Ctrl+kliknij)")</f>
        <v>(kliknij lub Ctrl+kliknij)</v>
      </c>
      <c r="H380" s="0" t="s">
        <v>718</v>
      </c>
    </row>
    <row r="381" customFormat="false" ht="12.8" hidden="false" customHeight="false" outlineLevel="0" collapsed="false">
      <c r="A381" s="1" t="s">
        <v>569</v>
      </c>
      <c r="C381" s="3" t="s">
        <v>710</v>
      </c>
      <c r="D381" s="4" t="s">
        <v>571</v>
      </c>
      <c r="F381" s="6" t="s">
        <v>711</v>
      </c>
      <c r="G381" s="7" t="str">
        <f aca="false">HYPERLINK(CONCATENATE("http://crfop.gdos.gov.pl/CRFOP/widok/viewpomnikprzyrody.jsf?fop=","PL.ZIPOP.1393.PP.1006082.710"),"(kliknij lub Ctrl+kliknij)")</f>
        <v>(kliknij lub Ctrl+kliknij)</v>
      </c>
      <c r="H381" s="0" t="s">
        <v>718</v>
      </c>
    </row>
    <row r="382" customFormat="false" ht="12.8" hidden="false" customHeight="false" outlineLevel="0" collapsed="false">
      <c r="A382" s="1" t="s">
        <v>569</v>
      </c>
      <c r="C382" s="3" t="s">
        <v>713</v>
      </c>
      <c r="D382" s="4" t="s">
        <v>571</v>
      </c>
      <c r="F382" s="6" t="s">
        <v>714</v>
      </c>
      <c r="G382" s="7" t="str">
        <f aca="false">HYPERLINK(CONCATENATE("http://crfop.gdos.gov.pl/CRFOP/widok/viewpomnikprzyrody.jsf?fop=","PL.ZIPOP.1393.PP.1006082.711"),"(kliknij lub Ctrl+kliknij)")</f>
        <v>(kliknij lub Ctrl+kliknij)</v>
      </c>
      <c r="H382" s="0" t="s">
        <v>718</v>
      </c>
    </row>
    <row r="383" customFormat="false" ht="12.8" hidden="false" customHeight="false" outlineLevel="0" collapsed="false">
      <c r="A383" s="1" t="s">
        <v>569</v>
      </c>
      <c r="C383" s="3" t="s">
        <v>713</v>
      </c>
      <c r="D383" s="4" t="s">
        <v>571</v>
      </c>
      <c r="F383" s="6" t="s">
        <v>714</v>
      </c>
      <c r="G383" s="7" t="str">
        <f aca="false">HYPERLINK(CONCATENATE("http://crfop.gdos.gov.pl/CRFOP/widok/viewpomnikprzyrody.jsf?fop=","PL.ZIPOP.1393.PP.1006082.712"),"(kliknij lub Ctrl+kliknij)")</f>
        <v>(kliknij lub Ctrl+kliknij)</v>
      </c>
      <c r="H383" s="0" t="s">
        <v>718</v>
      </c>
    </row>
    <row r="384" customFormat="false" ht="12.8" hidden="false" customHeight="false" outlineLevel="0" collapsed="false">
      <c r="A384" s="1" t="s">
        <v>569</v>
      </c>
      <c r="C384" s="3" t="s">
        <v>713</v>
      </c>
      <c r="D384" s="4" t="s">
        <v>571</v>
      </c>
      <c r="F384" s="6" t="s">
        <v>714</v>
      </c>
      <c r="G384" s="7" t="str">
        <f aca="false">HYPERLINK(CONCATENATE("http://crfop.gdos.gov.pl/CRFOP/widok/viewpomnikprzyrody.jsf?fop=","PL.ZIPOP.1393.PP.1006082.713"),"(kliknij lub Ctrl+kliknij)")</f>
        <v>(kliknij lub Ctrl+kliknij)</v>
      </c>
      <c r="H384" s="0" t="s">
        <v>718</v>
      </c>
    </row>
    <row r="385" customFormat="false" ht="12.8" hidden="false" customHeight="false" outlineLevel="0" collapsed="false">
      <c r="A385" s="1" t="s">
        <v>569</v>
      </c>
      <c r="C385" s="3" t="s">
        <v>713</v>
      </c>
      <c r="D385" s="4" t="s">
        <v>571</v>
      </c>
      <c r="F385" s="6" t="s">
        <v>714</v>
      </c>
      <c r="G385" s="7" t="str">
        <f aca="false">HYPERLINK(CONCATENATE("http://crfop.gdos.gov.pl/CRFOP/widok/viewpomnikprzyrody.jsf?fop=","PL.ZIPOP.1393.PP.1006082.714"),"(kliknij lub Ctrl+kliknij)")</f>
        <v>(kliknij lub Ctrl+kliknij)</v>
      </c>
      <c r="H385" s="0" t="s">
        <v>718</v>
      </c>
    </row>
    <row r="386" customFormat="false" ht="12.8" hidden="false" customHeight="false" outlineLevel="0" collapsed="false">
      <c r="A386" s="1" t="s">
        <v>569</v>
      </c>
      <c r="C386" s="3" t="s">
        <v>713</v>
      </c>
      <c r="D386" s="4" t="s">
        <v>571</v>
      </c>
      <c r="F386" s="6" t="s">
        <v>714</v>
      </c>
      <c r="G386" s="7" t="str">
        <f aca="false">HYPERLINK(CONCATENATE("http://crfop.gdos.gov.pl/CRFOP/widok/viewpomnikprzyrody.jsf?fop=","PL.ZIPOP.1393.PP.1006082.715"),"(kliknij lub Ctrl+kliknij)")</f>
        <v>(kliknij lub Ctrl+kliknij)</v>
      </c>
      <c r="H386" s="0" t="s">
        <v>718</v>
      </c>
    </row>
    <row r="387" customFormat="false" ht="12.8" hidden="false" customHeight="false" outlineLevel="0" collapsed="false">
      <c r="A387" s="1" t="s">
        <v>569</v>
      </c>
      <c r="C387" s="3" t="s">
        <v>713</v>
      </c>
      <c r="D387" s="4" t="s">
        <v>571</v>
      </c>
      <c r="F387" s="6" t="s">
        <v>714</v>
      </c>
      <c r="G387" s="7" t="str">
        <f aca="false">HYPERLINK(CONCATENATE("http://crfop.gdos.gov.pl/CRFOP/widok/viewpomnikprzyrody.jsf?fop=","PL.ZIPOP.1393.PP.1006082.716"),"(kliknij lub Ctrl+kliknij)")</f>
        <v>(kliknij lub Ctrl+kliknij)</v>
      </c>
      <c r="H387" s="0" t="s">
        <v>718</v>
      </c>
    </row>
    <row r="388" customFormat="false" ht="12.8" hidden="false" customHeight="false" outlineLevel="0" collapsed="false">
      <c r="A388" s="1" t="s">
        <v>569</v>
      </c>
      <c r="C388" s="3" t="s">
        <v>713</v>
      </c>
      <c r="D388" s="4" t="s">
        <v>571</v>
      </c>
      <c r="F388" s="6" t="s">
        <v>714</v>
      </c>
      <c r="G388" s="7" t="str">
        <f aca="false">HYPERLINK(CONCATENATE("http://crfop.gdos.gov.pl/CRFOP/widok/viewpomnikprzyrody.jsf?fop=","PL.ZIPOP.1393.PP.1006082.717"),"(kliknij lub Ctrl+kliknij)")</f>
        <v>(kliknij lub Ctrl+kliknij)</v>
      </c>
      <c r="H388" s="0" t="s">
        <v>718</v>
      </c>
    </row>
    <row r="389" customFormat="false" ht="12.8" hidden="false" customHeight="false" outlineLevel="0" collapsed="false">
      <c r="A389" s="1" t="s">
        <v>569</v>
      </c>
      <c r="C389" s="3" t="s">
        <v>713</v>
      </c>
      <c r="D389" s="4" t="s">
        <v>571</v>
      </c>
      <c r="F389" s="6" t="s">
        <v>714</v>
      </c>
      <c r="G389" s="7" t="str">
        <f aca="false">HYPERLINK(CONCATENATE("http://crfop.gdos.gov.pl/CRFOP/widok/viewpomnikprzyrody.jsf?fop=","PL.ZIPOP.1393.PP.1006082.718"),"(kliknij lub Ctrl+kliknij)")</f>
        <v>(kliknij lub Ctrl+kliknij)</v>
      </c>
      <c r="H389" s="0" t="s">
        <v>718</v>
      </c>
    </row>
    <row r="390" customFormat="false" ht="12.8" hidden="false" customHeight="false" outlineLevel="0" collapsed="false">
      <c r="A390" s="1" t="s">
        <v>569</v>
      </c>
      <c r="C390" s="3" t="s">
        <v>713</v>
      </c>
      <c r="D390" s="4" t="s">
        <v>571</v>
      </c>
      <c r="F390" s="6" t="s">
        <v>714</v>
      </c>
      <c r="G390" s="7" t="str">
        <f aca="false">HYPERLINK(CONCATENATE("http://crfop.gdos.gov.pl/CRFOP/widok/viewpomnikprzyrody.jsf?fop=","PL.ZIPOP.1393.PP.1006082.719"),"(kliknij lub Ctrl+kliknij)")</f>
        <v>(kliknij lub Ctrl+kliknij)</v>
      </c>
      <c r="H390" s="0" t="s">
        <v>718</v>
      </c>
    </row>
    <row r="391" customFormat="false" ht="12.8" hidden="false" customHeight="false" outlineLevel="0" collapsed="false">
      <c r="A391" s="1" t="s">
        <v>569</v>
      </c>
      <c r="C391" s="3" t="s">
        <v>713</v>
      </c>
      <c r="D391" s="4" t="s">
        <v>571</v>
      </c>
      <c r="F391" s="6" t="s">
        <v>714</v>
      </c>
      <c r="G391" s="7" t="str">
        <f aca="false">HYPERLINK(CONCATENATE("http://crfop.gdos.gov.pl/CRFOP/widok/viewpomnikprzyrody.jsf?fop=","PL.ZIPOP.1393.PP.1006082.720"),"(kliknij lub Ctrl+kliknij)")</f>
        <v>(kliknij lub Ctrl+kliknij)</v>
      </c>
      <c r="H391" s="0" t="s">
        <v>718</v>
      </c>
    </row>
    <row r="392" customFormat="false" ht="12.8" hidden="false" customHeight="false" outlineLevel="0" collapsed="false">
      <c r="A392" s="1" t="s">
        <v>569</v>
      </c>
      <c r="C392" s="3" t="s">
        <v>713</v>
      </c>
      <c r="D392" s="4" t="s">
        <v>571</v>
      </c>
      <c r="F392" s="6" t="s">
        <v>714</v>
      </c>
      <c r="G392" s="7" t="str">
        <f aca="false">HYPERLINK(CONCATENATE("http://crfop.gdos.gov.pl/CRFOP/widok/viewpomnikprzyrody.jsf?fop=","PL.ZIPOP.1393.PP.1006082.721"),"(kliknij lub Ctrl+kliknij)")</f>
        <v>(kliknij lub Ctrl+kliknij)</v>
      </c>
      <c r="H392" s="0" t="s">
        <v>718</v>
      </c>
    </row>
    <row r="393" customFormat="false" ht="12.8" hidden="false" customHeight="false" outlineLevel="0" collapsed="false">
      <c r="A393" s="1" t="s">
        <v>569</v>
      </c>
      <c r="C393" s="3" t="s">
        <v>707</v>
      </c>
      <c r="D393" s="4" t="s">
        <v>571</v>
      </c>
      <c r="F393" s="6" t="s">
        <v>708</v>
      </c>
      <c r="G393" s="7" t="str">
        <f aca="false">HYPERLINK(CONCATENATE("http://crfop.gdos.gov.pl/CRFOP/widok/viewpomnikprzyrody.jsf?fop=","PL.ZIPOP.1393.PP.1006103.761"),"(kliknij lub Ctrl+kliknij)")</f>
        <v>(kliknij lub Ctrl+kliknij)</v>
      </c>
      <c r="H393" s="0" t="s">
        <v>719</v>
      </c>
    </row>
    <row r="394" customFormat="false" ht="12.8" hidden="false" customHeight="false" outlineLevel="0" collapsed="false">
      <c r="A394" s="1" t="s">
        <v>569</v>
      </c>
      <c r="C394" s="3" t="s">
        <v>713</v>
      </c>
      <c r="D394" s="4" t="s">
        <v>571</v>
      </c>
      <c r="F394" s="6" t="s">
        <v>714</v>
      </c>
      <c r="G394" s="7" t="str">
        <f aca="false">HYPERLINK(CONCATENATE("http://crfop.gdos.gov.pl/CRFOP/widok/viewpomnikprzyrody.jsf?fop=","PL.ZIPOP.1393.PP.1006103.762"),"(kliknij lub Ctrl+kliknij)")</f>
        <v>(kliknij lub Ctrl+kliknij)</v>
      </c>
      <c r="H394" s="0" t="s">
        <v>719</v>
      </c>
    </row>
    <row r="395" customFormat="false" ht="12.8" hidden="false" customHeight="false" outlineLevel="0" collapsed="false">
      <c r="A395" s="1" t="s">
        <v>569</v>
      </c>
      <c r="C395" s="3" t="s">
        <v>713</v>
      </c>
      <c r="D395" s="4" t="s">
        <v>571</v>
      </c>
      <c r="F395" s="6" t="s">
        <v>714</v>
      </c>
      <c r="G395" s="7" t="str">
        <f aca="false">HYPERLINK(CONCATENATE("http://crfop.gdos.gov.pl/CRFOP/widok/viewpomnikprzyrody.jsf?fop=","PL.ZIPOP.1393.PP.1006103.763"),"(kliknij lub Ctrl+kliknij)")</f>
        <v>(kliknij lub Ctrl+kliknij)</v>
      </c>
      <c r="H395" s="0" t="s">
        <v>719</v>
      </c>
    </row>
    <row r="396" customFormat="false" ht="12.8" hidden="false" customHeight="false" outlineLevel="0" collapsed="false">
      <c r="A396" s="1" t="s">
        <v>569</v>
      </c>
      <c r="C396" s="3" t="s">
        <v>713</v>
      </c>
      <c r="D396" s="4" t="s">
        <v>571</v>
      </c>
      <c r="F396" s="6" t="s">
        <v>714</v>
      </c>
      <c r="G396" s="7" t="str">
        <f aca="false">HYPERLINK(CONCATENATE("http://crfop.gdos.gov.pl/CRFOP/widok/viewpomnikprzyrody.jsf?fop=","PL.ZIPOP.1393.PP.1006103.764"),"(kliknij lub Ctrl+kliknij)")</f>
        <v>(kliknij lub Ctrl+kliknij)</v>
      </c>
      <c r="H396" s="0" t="s">
        <v>719</v>
      </c>
    </row>
    <row r="397" customFormat="false" ht="12.8" hidden="false" customHeight="false" outlineLevel="0" collapsed="false">
      <c r="A397" s="1" t="s">
        <v>569</v>
      </c>
      <c r="C397" s="3" t="s">
        <v>713</v>
      </c>
      <c r="D397" s="4" t="s">
        <v>571</v>
      </c>
      <c r="F397" s="6" t="s">
        <v>714</v>
      </c>
      <c r="G397" s="7" t="str">
        <f aca="false">HYPERLINK(CONCATENATE("http://crfop.gdos.gov.pl/CRFOP/widok/viewpomnikprzyrody.jsf?fop=","PL.ZIPOP.1393.PP.1006103.765"),"(kliknij lub Ctrl+kliknij)")</f>
        <v>(kliknij lub Ctrl+kliknij)</v>
      </c>
      <c r="H397" s="0" t="s">
        <v>719</v>
      </c>
    </row>
    <row r="398" customFormat="false" ht="12.8" hidden="false" customHeight="false" outlineLevel="0" collapsed="false">
      <c r="A398" s="1" t="s">
        <v>569</v>
      </c>
      <c r="C398" s="3" t="s">
        <v>713</v>
      </c>
      <c r="D398" s="4" t="s">
        <v>571</v>
      </c>
      <c r="F398" s="6" t="s">
        <v>714</v>
      </c>
      <c r="G398" s="7" t="str">
        <f aca="false">HYPERLINK(CONCATENATE("http://crfop.gdos.gov.pl/CRFOP/widok/viewpomnikprzyrody.jsf?fop=","PL.ZIPOP.1393.PP.1006103.766"),"(kliknij lub Ctrl+kliknij)")</f>
        <v>(kliknij lub Ctrl+kliknij)</v>
      </c>
      <c r="H398" s="0" t="s">
        <v>719</v>
      </c>
    </row>
    <row r="399" customFormat="false" ht="12.8" hidden="false" customHeight="false" outlineLevel="0" collapsed="false">
      <c r="A399" s="1" t="s">
        <v>569</v>
      </c>
      <c r="C399" s="3" t="s">
        <v>713</v>
      </c>
      <c r="D399" s="4" t="s">
        <v>571</v>
      </c>
      <c r="F399" s="6" t="s">
        <v>714</v>
      </c>
      <c r="G399" s="7" t="str">
        <f aca="false">HYPERLINK(CONCATENATE("http://crfop.gdos.gov.pl/CRFOP/widok/viewpomnikprzyrody.jsf?fop=","PL.ZIPOP.1393.PP.1006103.767"),"(kliknij lub Ctrl+kliknij)")</f>
        <v>(kliknij lub Ctrl+kliknij)</v>
      </c>
      <c r="H399" s="0" t="s">
        <v>719</v>
      </c>
    </row>
    <row r="400" customFormat="false" ht="12.8" hidden="false" customHeight="false" outlineLevel="0" collapsed="false">
      <c r="A400" s="1" t="s">
        <v>569</v>
      </c>
      <c r="C400" s="3" t="s">
        <v>713</v>
      </c>
      <c r="D400" s="4" t="s">
        <v>571</v>
      </c>
      <c r="F400" s="6" t="s">
        <v>714</v>
      </c>
      <c r="G400" s="7" t="str">
        <f aca="false">HYPERLINK(CONCATENATE("http://crfop.gdos.gov.pl/CRFOP/widok/viewpomnikprzyrody.jsf?fop=","PL.ZIPOP.1393.PP.1006103.773"),"(kliknij lub Ctrl+kliknij)")</f>
        <v>(kliknij lub Ctrl+kliknij)</v>
      </c>
      <c r="H400" s="0" t="s">
        <v>719</v>
      </c>
    </row>
    <row r="401" customFormat="false" ht="12.8" hidden="false" customHeight="false" outlineLevel="0" collapsed="false">
      <c r="A401" s="1" t="s">
        <v>569</v>
      </c>
      <c r="C401" s="3" t="s">
        <v>713</v>
      </c>
      <c r="D401" s="4" t="s">
        <v>571</v>
      </c>
      <c r="F401" s="6" t="s">
        <v>714</v>
      </c>
      <c r="G401" s="7" t="str">
        <f aca="false">HYPERLINK(CONCATENATE("http://crfop.gdos.gov.pl/CRFOP/widok/viewpomnikprzyrody.jsf?fop=","PL.ZIPOP.1393.PP.1006103.775"),"(kliknij lub Ctrl+kliknij)")</f>
        <v>(kliknij lub Ctrl+kliknij)</v>
      </c>
      <c r="H401" s="0" t="s">
        <v>719</v>
      </c>
    </row>
    <row r="402" customFormat="false" ht="12.8" hidden="false" customHeight="false" outlineLevel="0" collapsed="false">
      <c r="A402" s="1" t="s">
        <v>569</v>
      </c>
      <c r="C402" s="3" t="s">
        <v>720</v>
      </c>
      <c r="D402" s="4" t="s">
        <v>571</v>
      </c>
      <c r="F402" s="6" t="s">
        <v>721</v>
      </c>
      <c r="G402" s="7" t="str">
        <f aca="false">HYPERLINK(CONCATENATE("http://crfop.gdos.gov.pl/CRFOP/widok/viewpomnikprzyrody.jsf?fop=","PL.ZIPOP.1393.PP.1006103.777"),"(kliknij lub Ctrl+kliknij)")</f>
        <v>(kliknij lub Ctrl+kliknij)</v>
      </c>
      <c r="H402" s="0" t="s">
        <v>719</v>
      </c>
    </row>
    <row r="403" customFormat="false" ht="12.8" hidden="false" customHeight="false" outlineLevel="0" collapsed="false">
      <c r="A403" s="1" t="s">
        <v>569</v>
      </c>
      <c r="C403" s="3" t="s">
        <v>570</v>
      </c>
      <c r="D403" s="4" t="s">
        <v>571</v>
      </c>
      <c r="F403" s="6" t="s">
        <v>572</v>
      </c>
      <c r="G403" s="7" t="str">
        <f aca="false">HYPERLINK(CONCATENATE("http://crfop.gdos.gov.pl/CRFOP/widok/viewpomnikprzyrody.jsf?fop=","PL.ZIPOP.1393.PP.1006113.727"),"(kliknij lub Ctrl+kliknij)")</f>
        <v>(kliknij lub Ctrl+kliknij)</v>
      </c>
      <c r="H403" s="0" t="s">
        <v>722</v>
      </c>
    </row>
    <row r="404" customFormat="false" ht="12.8" hidden="false" customHeight="false" outlineLevel="0" collapsed="false">
      <c r="A404" s="1" t="s">
        <v>569</v>
      </c>
      <c r="C404" s="3" t="s">
        <v>570</v>
      </c>
      <c r="D404" s="4" t="s">
        <v>571</v>
      </c>
      <c r="F404" s="6" t="s">
        <v>572</v>
      </c>
      <c r="G404" s="7" t="str">
        <f aca="false">HYPERLINK(CONCATENATE("http://crfop.gdos.gov.pl/CRFOP/widok/viewpomnikprzyrody.jsf?fop=","PL.ZIPOP.1393.PP.1006113.728"),"(kliknij lub Ctrl+kliknij)")</f>
        <v>(kliknij lub Ctrl+kliknij)</v>
      </c>
      <c r="H404" s="0" t="s">
        <v>722</v>
      </c>
    </row>
    <row r="405" customFormat="false" ht="12.8" hidden="false" customHeight="false" outlineLevel="0" collapsed="false">
      <c r="A405" s="1" t="s">
        <v>569</v>
      </c>
      <c r="C405" s="3" t="s">
        <v>570</v>
      </c>
      <c r="D405" s="4" t="s">
        <v>571</v>
      </c>
      <c r="F405" s="6" t="s">
        <v>572</v>
      </c>
      <c r="G405" s="7" t="str">
        <f aca="false">HYPERLINK(CONCATENATE("http://crfop.gdos.gov.pl/CRFOP/widok/viewpomnikprzyrody.jsf?fop=","PL.ZIPOP.1393.PP.1006113.729"),"(kliknij lub Ctrl+kliknij)")</f>
        <v>(kliknij lub Ctrl+kliknij)</v>
      </c>
      <c r="H405" s="0" t="s">
        <v>722</v>
      </c>
    </row>
    <row r="406" customFormat="false" ht="12.8" hidden="false" customHeight="false" outlineLevel="0" collapsed="false">
      <c r="A406" s="1" t="s">
        <v>569</v>
      </c>
      <c r="C406" s="3" t="s">
        <v>570</v>
      </c>
      <c r="D406" s="4" t="s">
        <v>571</v>
      </c>
      <c r="F406" s="6" t="s">
        <v>572</v>
      </c>
      <c r="G406" s="7" t="str">
        <f aca="false">HYPERLINK(CONCATENATE("http://crfop.gdos.gov.pl/CRFOP/widok/viewpomnikprzyrody.jsf?fop=","PL.ZIPOP.1393.PP.1006113.730"),"(kliknij lub Ctrl+kliknij)")</f>
        <v>(kliknij lub Ctrl+kliknij)</v>
      </c>
      <c r="H406" s="0" t="s">
        <v>722</v>
      </c>
    </row>
    <row r="407" customFormat="false" ht="12.8" hidden="false" customHeight="false" outlineLevel="0" collapsed="false">
      <c r="A407" s="1" t="s">
        <v>569</v>
      </c>
      <c r="C407" s="3" t="s">
        <v>570</v>
      </c>
      <c r="D407" s="4" t="s">
        <v>571</v>
      </c>
      <c r="F407" s="6" t="s">
        <v>572</v>
      </c>
      <c r="G407" s="7" t="str">
        <f aca="false">HYPERLINK(CONCATENATE("http://crfop.gdos.gov.pl/CRFOP/widok/viewpomnikprzyrody.jsf?fop=","PL.ZIPOP.1393.PP.1006113.731"),"(kliknij lub Ctrl+kliknij)")</f>
        <v>(kliknij lub Ctrl+kliknij)</v>
      </c>
      <c r="H407" s="0" t="s">
        <v>722</v>
      </c>
    </row>
    <row r="408" customFormat="false" ht="12.8" hidden="false" customHeight="false" outlineLevel="0" collapsed="false">
      <c r="A408" s="1" t="s">
        <v>569</v>
      </c>
      <c r="C408" s="3" t="s">
        <v>570</v>
      </c>
      <c r="D408" s="4" t="s">
        <v>571</v>
      </c>
      <c r="F408" s="6" t="s">
        <v>572</v>
      </c>
      <c r="G408" s="7" t="str">
        <f aca="false">HYPERLINK(CONCATENATE("http://crfop.gdos.gov.pl/CRFOP/widok/viewpomnikprzyrody.jsf?fop=","PL.ZIPOP.1393.PP.1006113.732"),"(kliknij lub Ctrl+kliknij)")</f>
        <v>(kliknij lub Ctrl+kliknij)</v>
      </c>
      <c r="H408" s="0" t="s">
        <v>722</v>
      </c>
    </row>
    <row r="409" customFormat="false" ht="12.8" hidden="false" customHeight="false" outlineLevel="0" collapsed="false">
      <c r="A409" s="1" t="s">
        <v>569</v>
      </c>
      <c r="C409" s="3" t="s">
        <v>570</v>
      </c>
      <c r="D409" s="4" t="s">
        <v>571</v>
      </c>
      <c r="F409" s="6" t="s">
        <v>572</v>
      </c>
      <c r="G409" s="7" t="str">
        <f aca="false">HYPERLINK(CONCATENATE("http://crfop.gdos.gov.pl/CRFOP/widok/viewpomnikprzyrody.jsf?fop=","PL.ZIPOP.1393.PP.1006113.733"),"(kliknij lub Ctrl+kliknij)")</f>
        <v>(kliknij lub Ctrl+kliknij)</v>
      </c>
      <c r="H409" s="0" t="s">
        <v>722</v>
      </c>
    </row>
    <row r="410" customFormat="false" ht="12.8" hidden="false" customHeight="false" outlineLevel="0" collapsed="false">
      <c r="A410" s="1" t="s">
        <v>569</v>
      </c>
      <c r="C410" s="3" t="s">
        <v>570</v>
      </c>
      <c r="D410" s="4" t="s">
        <v>571</v>
      </c>
      <c r="F410" s="6" t="s">
        <v>572</v>
      </c>
      <c r="G410" s="7" t="str">
        <f aca="false">HYPERLINK(CONCATENATE("http://crfop.gdos.gov.pl/CRFOP/widok/viewpomnikprzyrody.jsf?fop=","PL.ZIPOP.1393.PP.1006113.734"),"(kliknij lub Ctrl+kliknij)")</f>
        <v>(kliknij lub Ctrl+kliknij)</v>
      </c>
      <c r="H410" s="0" t="s">
        <v>722</v>
      </c>
    </row>
    <row r="411" customFormat="false" ht="12.8" hidden="false" customHeight="false" outlineLevel="0" collapsed="false">
      <c r="A411" s="1" t="s">
        <v>569</v>
      </c>
      <c r="C411" s="3" t="s">
        <v>570</v>
      </c>
      <c r="D411" s="4" t="s">
        <v>571</v>
      </c>
      <c r="F411" s="6" t="s">
        <v>572</v>
      </c>
      <c r="G411" s="7" t="str">
        <f aca="false">HYPERLINK(CONCATENATE("http://crfop.gdos.gov.pl/CRFOP/widok/viewpomnikprzyrody.jsf?fop=","PL.ZIPOP.1393.PP.1006113.735"),"(kliknij lub Ctrl+kliknij)")</f>
        <v>(kliknij lub Ctrl+kliknij)</v>
      </c>
      <c r="H411" s="0" t="s">
        <v>722</v>
      </c>
    </row>
    <row r="412" customFormat="false" ht="12.8" hidden="false" customHeight="false" outlineLevel="0" collapsed="false">
      <c r="A412" s="1" t="s">
        <v>569</v>
      </c>
      <c r="C412" s="3" t="s">
        <v>570</v>
      </c>
      <c r="D412" s="4" t="s">
        <v>571</v>
      </c>
      <c r="F412" s="6" t="s">
        <v>572</v>
      </c>
      <c r="G412" s="7" t="str">
        <f aca="false">HYPERLINK(CONCATENATE("http://crfop.gdos.gov.pl/CRFOP/widok/viewpomnikprzyrody.jsf?fop=","PL.ZIPOP.1393.PP.1006113.736"),"(kliknij lub Ctrl+kliknij)")</f>
        <v>(kliknij lub Ctrl+kliknij)</v>
      </c>
      <c r="H412" s="0" t="s">
        <v>722</v>
      </c>
    </row>
    <row r="413" customFormat="false" ht="12.8" hidden="false" customHeight="false" outlineLevel="0" collapsed="false">
      <c r="A413" s="1" t="s">
        <v>569</v>
      </c>
      <c r="C413" s="3" t="s">
        <v>570</v>
      </c>
      <c r="D413" s="4" t="s">
        <v>571</v>
      </c>
      <c r="F413" s="6" t="s">
        <v>572</v>
      </c>
      <c r="G413" s="7" t="str">
        <f aca="false">HYPERLINK(CONCATENATE("http://crfop.gdos.gov.pl/CRFOP/widok/viewpomnikprzyrody.jsf?fop=","PL.ZIPOP.1393.PP.1006113.737"),"(kliknij lub Ctrl+kliknij)")</f>
        <v>(kliknij lub Ctrl+kliknij)</v>
      </c>
      <c r="H413" s="0" t="s">
        <v>722</v>
      </c>
    </row>
    <row r="414" customFormat="false" ht="12.8" hidden="false" customHeight="false" outlineLevel="0" collapsed="false">
      <c r="A414" s="1" t="s">
        <v>569</v>
      </c>
      <c r="C414" s="3" t="s">
        <v>574</v>
      </c>
      <c r="D414" s="4" t="s">
        <v>571</v>
      </c>
      <c r="F414" s="6" t="s">
        <v>575</v>
      </c>
      <c r="G414" s="7" t="str">
        <f aca="false">HYPERLINK(CONCATENATE("http://crfop.gdos.gov.pl/CRFOP/widok/viewpomnikprzyrody.jsf?fop=","PL.ZIPOP.1393.PP.1006113.738"),"(kliknij lub Ctrl+kliknij)")</f>
        <v>(kliknij lub Ctrl+kliknij)</v>
      </c>
      <c r="H414" s="0" t="s">
        <v>722</v>
      </c>
    </row>
    <row r="415" customFormat="false" ht="12.8" hidden="false" customHeight="false" outlineLevel="0" collapsed="false">
      <c r="A415" s="1" t="s">
        <v>569</v>
      </c>
      <c r="C415" s="3" t="s">
        <v>574</v>
      </c>
      <c r="D415" s="4" t="s">
        <v>571</v>
      </c>
      <c r="F415" s="6" t="s">
        <v>575</v>
      </c>
      <c r="G415" s="7" t="str">
        <f aca="false">HYPERLINK(CONCATENATE("http://crfop.gdos.gov.pl/CRFOP/widok/viewpomnikprzyrody.jsf?fop=","PL.ZIPOP.1393.PP.1006113.739"),"(kliknij lub Ctrl+kliknij)")</f>
        <v>(kliknij lub Ctrl+kliknij)</v>
      </c>
      <c r="H415" s="0" t="s">
        <v>722</v>
      </c>
    </row>
    <row r="416" customFormat="false" ht="12.8" hidden="false" customHeight="false" outlineLevel="0" collapsed="false">
      <c r="A416" s="1" t="s">
        <v>569</v>
      </c>
      <c r="C416" s="3" t="s">
        <v>574</v>
      </c>
      <c r="D416" s="4" t="s">
        <v>571</v>
      </c>
      <c r="F416" s="6" t="s">
        <v>575</v>
      </c>
      <c r="G416" s="7" t="str">
        <f aca="false">HYPERLINK(CONCATENATE("http://crfop.gdos.gov.pl/CRFOP/widok/viewpomnikprzyrody.jsf?fop=","PL.ZIPOP.1393.PP.1006113.740"),"(kliknij lub Ctrl+kliknij)")</f>
        <v>(kliknij lub Ctrl+kliknij)</v>
      </c>
      <c r="H416" s="0" t="s">
        <v>722</v>
      </c>
    </row>
    <row r="417" customFormat="false" ht="12.8" hidden="false" customHeight="false" outlineLevel="0" collapsed="false">
      <c r="A417" s="1" t="s">
        <v>569</v>
      </c>
      <c r="C417" s="3" t="s">
        <v>574</v>
      </c>
      <c r="D417" s="4" t="s">
        <v>571</v>
      </c>
      <c r="F417" s="6" t="s">
        <v>575</v>
      </c>
      <c r="G417" s="7" t="str">
        <f aca="false">HYPERLINK(CONCATENATE("http://crfop.gdos.gov.pl/CRFOP/widok/viewpomnikprzyrody.jsf?fop=","PL.ZIPOP.1393.PP.1006113.741"),"(kliknij lub Ctrl+kliknij)")</f>
        <v>(kliknij lub Ctrl+kliknij)</v>
      </c>
      <c r="H417" s="0" t="s">
        <v>722</v>
      </c>
    </row>
    <row r="418" customFormat="false" ht="12.8" hidden="false" customHeight="false" outlineLevel="0" collapsed="false">
      <c r="A418" s="1" t="s">
        <v>569</v>
      </c>
      <c r="C418" s="3" t="s">
        <v>574</v>
      </c>
      <c r="D418" s="4" t="s">
        <v>571</v>
      </c>
      <c r="F418" s="6" t="s">
        <v>575</v>
      </c>
      <c r="G418" s="7" t="str">
        <f aca="false">HYPERLINK(CONCATENATE("http://crfop.gdos.gov.pl/CRFOP/widok/viewpomnikprzyrody.jsf?fop=","PL.ZIPOP.1393.PP.1006113.742"),"(kliknij lub Ctrl+kliknij)")</f>
        <v>(kliknij lub Ctrl+kliknij)</v>
      </c>
      <c r="H418" s="0" t="s">
        <v>722</v>
      </c>
    </row>
    <row r="419" customFormat="false" ht="12.8" hidden="false" customHeight="false" outlineLevel="0" collapsed="false">
      <c r="A419" s="1" t="s">
        <v>569</v>
      </c>
      <c r="C419" s="3" t="s">
        <v>723</v>
      </c>
      <c r="D419" s="4" t="s">
        <v>571</v>
      </c>
      <c r="F419" s="6" t="s">
        <v>724</v>
      </c>
      <c r="G419" s="7" t="str">
        <f aca="false">HYPERLINK(CONCATENATE("http://crfop.gdos.gov.pl/CRFOP/widok/viewpomnikprzyrody.jsf?fop=","PL.ZIPOP.1393.PP.1006113.743"),"(kliknij lub Ctrl+kliknij)")</f>
        <v>(kliknij lub Ctrl+kliknij)</v>
      </c>
      <c r="H419" s="0" t="s">
        <v>722</v>
      </c>
    </row>
    <row r="420" customFormat="false" ht="12.8" hidden="false" customHeight="false" outlineLevel="0" collapsed="false">
      <c r="A420" s="1" t="s">
        <v>569</v>
      </c>
      <c r="C420" s="3" t="s">
        <v>574</v>
      </c>
      <c r="D420" s="4" t="s">
        <v>571</v>
      </c>
      <c r="F420" s="6" t="s">
        <v>575</v>
      </c>
      <c r="G420" s="7" t="str">
        <f aca="false">HYPERLINK(CONCATENATE("http://crfop.gdos.gov.pl/CRFOP/widok/viewpomnikprzyrody.jsf?fop=","PL.ZIPOP.1393.PP.1007012.1377"),"(kliknij lub Ctrl+kliknij)")</f>
        <v>(kliknij lub Ctrl+kliknij)</v>
      </c>
      <c r="H420" s="0" t="s">
        <v>251</v>
      </c>
    </row>
    <row r="421" customFormat="false" ht="12.8" hidden="false" customHeight="false" outlineLevel="0" collapsed="false">
      <c r="A421" s="1" t="s">
        <v>569</v>
      </c>
      <c r="C421" s="3" t="s">
        <v>591</v>
      </c>
      <c r="D421" s="4" t="s">
        <v>571</v>
      </c>
      <c r="F421" s="6" t="s">
        <v>592</v>
      </c>
      <c r="G421" s="7" t="str">
        <f aca="false">HYPERLINK(CONCATENATE("http://crfop.gdos.gov.pl/CRFOP/widok/viewpomnikprzyrody.jsf?fop=","PL.ZIPOP.1393.PP.1007043.1371"),"(kliknij lub Ctrl+kliknij)")</f>
        <v>(kliknij lub Ctrl+kliknij)</v>
      </c>
      <c r="H421" s="0" t="s">
        <v>725</v>
      </c>
    </row>
    <row r="422" customFormat="false" ht="12.8" hidden="false" customHeight="false" outlineLevel="0" collapsed="false">
      <c r="A422" s="1" t="s">
        <v>569</v>
      </c>
      <c r="C422" s="3" t="s">
        <v>591</v>
      </c>
      <c r="D422" s="4" t="s">
        <v>571</v>
      </c>
      <c r="F422" s="6" t="s">
        <v>592</v>
      </c>
      <c r="G422" s="7" t="str">
        <f aca="false">HYPERLINK(CONCATENATE("http://crfop.gdos.gov.pl/CRFOP/widok/viewpomnikprzyrody.jsf?fop=","PL.ZIPOP.1393.PP.1007043.1372"),"(kliknij lub Ctrl+kliknij)")</f>
        <v>(kliknij lub Ctrl+kliknij)</v>
      </c>
      <c r="H422" s="0" t="s">
        <v>725</v>
      </c>
    </row>
    <row r="423" customFormat="false" ht="12.8" hidden="false" customHeight="false" outlineLevel="0" collapsed="false">
      <c r="A423" s="1" t="s">
        <v>569</v>
      </c>
      <c r="C423" s="3" t="s">
        <v>591</v>
      </c>
      <c r="D423" s="4" t="s">
        <v>571</v>
      </c>
      <c r="F423" s="6" t="s">
        <v>592</v>
      </c>
      <c r="G423" s="7" t="str">
        <f aca="false">HYPERLINK(CONCATENATE("http://crfop.gdos.gov.pl/CRFOP/widok/viewpomnikprzyrody.jsf?fop=","PL.ZIPOP.1393.PP.1007043.1373"),"(kliknij lub Ctrl+kliknij)")</f>
        <v>(kliknij lub Ctrl+kliknij)</v>
      </c>
      <c r="H423" s="0" t="s">
        <v>725</v>
      </c>
    </row>
    <row r="424" customFormat="false" ht="12.8" hidden="false" customHeight="false" outlineLevel="0" collapsed="false">
      <c r="A424" s="1" t="s">
        <v>569</v>
      </c>
      <c r="C424" s="3" t="s">
        <v>570</v>
      </c>
      <c r="D424" s="4" t="s">
        <v>571</v>
      </c>
      <c r="F424" s="6" t="s">
        <v>572</v>
      </c>
      <c r="G424" s="7" t="str">
        <f aca="false">HYPERLINK(CONCATENATE("http://crfop.gdos.gov.pl/CRFOP/widok/viewpomnikprzyrody.jsf?fop=","PL.ZIPOP.1393.PP.1007052.1379"),"(kliknij lub Ctrl+kliknij)")</f>
        <v>(kliknij lub Ctrl+kliknij)</v>
      </c>
      <c r="H424" s="0" t="s">
        <v>726</v>
      </c>
    </row>
    <row r="425" customFormat="false" ht="12.8" hidden="false" customHeight="false" outlineLevel="0" collapsed="false">
      <c r="A425" s="1" t="s">
        <v>569</v>
      </c>
      <c r="C425" s="3" t="s">
        <v>570</v>
      </c>
      <c r="D425" s="4" t="s">
        <v>571</v>
      </c>
      <c r="F425" s="6" t="s">
        <v>572</v>
      </c>
      <c r="G425" s="7" t="str">
        <f aca="false">HYPERLINK(CONCATENATE("http://crfop.gdos.gov.pl/CRFOP/widok/viewpomnikprzyrody.jsf?fop=","PL.ZIPOP.1393.PP.1007052.1383"),"(kliknij lub Ctrl+kliknij)")</f>
        <v>(kliknij lub Ctrl+kliknij)</v>
      </c>
      <c r="H425" s="0" t="s">
        <v>726</v>
      </c>
    </row>
    <row r="426" customFormat="false" ht="12.8" hidden="false" customHeight="false" outlineLevel="0" collapsed="false">
      <c r="A426" s="1" t="s">
        <v>569</v>
      </c>
      <c r="C426" s="3" t="s">
        <v>591</v>
      </c>
      <c r="D426" s="4" t="s">
        <v>571</v>
      </c>
      <c r="F426" s="6" t="s">
        <v>592</v>
      </c>
      <c r="G426" s="7" t="str">
        <f aca="false">HYPERLINK(CONCATENATE("http://crfop.gdos.gov.pl/CRFOP/widok/viewpomnikprzyrody.jsf?fop=","PL.ZIPOP.1393.PP.1007062.1375"),"(kliknij lub Ctrl+kliknij)")</f>
        <v>(kliknij lub Ctrl+kliknij)</v>
      </c>
      <c r="H426" s="0" t="s">
        <v>727</v>
      </c>
    </row>
    <row r="427" customFormat="false" ht="12.8" hidden="false" customHeight="false" outlineLevel="0" collapsed="false">
      <c r="A427" s="1" t="s">
        <v>569</v>
      </c>
      <c r="B427" s="2" t="s">
        <v>728</v>
      </c>
      <c r="C427" s="3" t="s">
        <v>729</v>
      </c>
      <c r="D427" s="4" t="s">
        <v>571</v>
      </c>
      <c r="F427" s="6" t="s">
        <v>730</v>
      </c>
      <c r="G427" s="7" t="str">
        <f aca="false">HYPERLINK(CONCATENATE("http://crfop.gdos.gov.pl/CRFOP/widok/viewpomnikprzyrody.jsf?fop=","PL.ZIPOP.1393.PP.1007082.4500"),"(kliknij lub Ctrl+kliknij)")</f>
        <v>(kliknij lub Ctrl+kliknij)</v>
      </c>
      <c r="H427" s="0" t="s">
        <v>731</v>
      </c>
    </row>
    <row r="428" customFormat="false" ht="12.8" hidden="false" customHeight="false" outlineLevel="0" collapsed="false">
      <c r="A428" s="1" t="s">
        <v>569</v>
      </c>
      <c r="C428" s="3" t="s">
        <v>713</v>
      </c>
      <c r="D428" s="4" t="s">
        <v>571</v>
      </c>
      <c r="F428" s="6" t="s">
        <v>714</v>
      </c>
      <c r="G428" s="7" t="str">
        <f aca="false">HYPERLINK(CONCATENATE("http://crfop.gdos.gov.pl/CRFOP/widok/viewpomnikprzyrody.jsf?fop=","PL.ZIPOP.1393.PP.1008011.299"),"(kliknij lub Ctrl+kliknij)")</f>
        <v>(kliknij lub Ctrl+kliknij)</v>
      </c>
      <c r="H428" s="0" t="s">
        <v>732</v>
      </c>
    </row>
    <row r="429" customFormat="false" ht="12.8" hidden="false" customHeight="false" outlineLevel="0" collapsed="false">
      <c r="A429" s="1" t="s">
        <v>569</v>
      </c>
      <c r="C429" s="3" t="s">
        <v>713</v>
      </c>
      <c r="D429" s="4" t="s">
        <v>571</v>
      </c>
      <c r="F429" s="6" t="s">
        <v>714</v>
      </c>
      <c r="G429" s="7" t="str">
        <f aca="false">HYPERLINK(CONCATENATE("http://crfop.gdos.gov.pl/CRFOP/widok/viewpomnikprzyrody.jsf?fop=","PL.ZIPOP.1393.PP.1008011.300"),"(kliknij lub Ctrl+kliknij)")</f>
        <v>(kliknij lub Ctrl+kliknij)</v>
      </c>
      <c r="H429" s="0" t="s">
        <v>732</v>
      </c>
    </row>
    <row r="430" customFormat="false" ht="12.8" hidden="false" customHeight="false" outlineLevel="0" collapsed="false">
      <c r="A430" s="1" t="s">
        <v>569</v>
      </c>
      <c r="C430" s="3" t="s">
        <v>713</v>
      </c>
      <c r="D430" s="4" t="s">
        <v>571</v>
      </c>
      <c r="F430" s="6" t="s">
        <v>714</v>
      </c>
      <c r="G430" s="7" t="str">
        <f aca="false">HYPERLINK(CONCATENATE("http://crfop.gdos.gov.pl/CRFOP/widok/viewpomnikprzyrody.jsf?fop=","PL.ZIPOP.1393.PP.1008011.301"),"(kliknij lub Ctrl+kliknij)")</f>
        <v>(kliknij lub Ctrl+kliknij)</v>
      </c>
      <c r="H430" s="0" t="s">
        <v>732</v>
      </c>
    </row>
    <row r="431" customFormat="false" ht="12.8" hidden="false" customHeight="false" outlineLevel="0" collapsed="false">
      <c r="A431" s="1" t="s">
        <v>569</v>
      </c>
      <c r="C431" s="3" t="s">
        <v>713</v>
      </c>
      <c r="D431" s="4" t="s">
        <v>571</v>
      </c>
      <c r="F431" s="6" t="s">
        <v>714</v>
      </c>
      <c r="G431" s="7" t="str">
        <f aca="false">HYPERLINK(CONCATENATE("http://crfop.gdos.gov.pl/CRFOP/widok/viewpomnikprzyrody.jsf?fop=","PL.ZIPOP.1393.PP.1008011.302"),"(kliknij lub Ctrl+kliknij)")</f>
        <v>(kliknij lub Ctrl+kliknij)</v>
      </c>
      <c r="H431" s="0" t="s">
        <v>732</v>
      </c>
    </row>
    <row r="432" customFormat="false" ht="12.8" hidden="false" customHeight="false" outlineLevel="0" collapsed="false">
      <c r="A432" s="1" t="s">
        <v>569</v>
      </c>
      <c r="C432" s="3" t="s">
        <v>713</v>
      </c>
      <c r="D432" s="4" t="s">
        <v>571</v>
      </c>
      <c r="F432" s="6" t="s">
        <v>714</v>
      </c>
      <c r="G432" s="7" t="str">
        <f aca="false">HYPERLINK(CONCATENATE("http://crfop.gdos.gov.pl/CRFOP/widok/viewpomnikprzyrody.jsf?fop=","PL.ZIPOP.1393.PP.1008011.304"),"(kliknij lub Ctrl+kliknij)")</f>
        <v>(kliknij lub Ctrl+kliknij)</v>
      </c>
      <c r="H432" s="0" t="s">
        <v>732</v>
      </c>
    </row>
    <row r="433" customFormat="false" ht="12.8" hidden="false" customHeight="false" outlineLevel="0" collapsed="false">
      <c r="A433" s="1" t="s">
        <v>569</v>
      </c>
      <c r="C433" s="3" t="s">
        <v>713</v>
      </c>
      <c r="D433" s="4" t="s">
        <v>571</v>
      </c>
      <c r="F433" s="6" t="s">
        <v>714</v>
      </c>
      <c r="G433" s="7" t="str">
        <f aca="false">HYPERLINK(CONCATENATE("http://crfop.gdos.gov.pl/CRFOP/widok/viewpomnikprzyrody.jsf?fop=","PL.ZIPOP.1393.PP.1008011.305"),"(kliknij lub Ctrl+kliknij)")</f>
        <v>(kliknij lub Ctrl+kliknij)</v>
      </c>
      <c r="H433" s="0" t="s">
        <v>732</v>
      </c>
    </row>
    <row r="434" customFormat="false" ht="12.8" hidden="false" customHeight="false" outlineLevel="0" collapsed="false">
      <c r="A434" s="1" t="s">
        <v>569</v>
      </c>
      <c r="C434" s="3" t="s">
        <v>710</v>
      </c>
      <c r="D434" s="4" t="s">
        <v>571</v>
      </c>
      <c r="F434" s="6" t="s">
        <v>711</v>
      </c>
      <c r="G434" s="7" t="str">
        <f aca="false">HYPERLINK(CONCATENATE("http://crfop.gdos.gov.pl/CRFOP/widok/viewpomnikprzyrody.jsf?fop=","PL.ZIPOP.1393.PP.1008021.325"),"(kliknij lub Ctrl+kliknij)")</f>
        <v>(kliknij lub Ctrl+kliknij)</v>
      </c>
      <c r="H434" s="0" t="s">
        <v>733</v>
      </c>
    </row>
    <row r="435" customFormat="false" ht="12.8" hidden="false" customHeight="false" outlineLevel="0" collapsed="false">
      <c r="A435" s="1" t="s">
        <v>569</v>
      </c>
      <c r="C435" s="3" t="s">
        <v>710</v>
      </c>
      <c r="D435" s="4" t="s">
        <v>571</v>
      </c>
      <c r="F435" s="6" t="s">
        <v>711</v>
      </c>
      <c r="G435" s="7" t="str">
        <f aca="false">HYPERLINK(CONCATENATE("http://crfop.gdos.gov.pl/CRFOP/widok/viewpomnikprzyrody.jsf?fop=","PL.ZIPOP.1393.PP.1008021.326"),"(kliknij lub Ctrl+kliknij)")</f>
        <v>(kliknij lub Ctrl+kliknij)</v>
      </c>
      <c r="H435" s="0" t="s">
        <v>733</v>
      </c>
    </row>
    <row r="436" customFormat="false" ht="12.8" hidden="false" customHeight="false" outlineLevel="0" collapsed="false">
      <c r="A436" s="1" t="s">
        <v>569</v>
      </c>
      <c r="C436" s="3" t="s">
        <v>710</v>
      </c>
      <c r="D436" s="4" t="s">
        <v>571</v>
      </c>
      <c r="F436" s="6" t="s">
        <v>711</v>
      </c>
      <c r="G436" s="7" t="str">
        <f aca="false">HYPERLINK(CONCATENATE("http://crfop.gdos.gov.pl/CRFOP/widok/viewpomnikprzyrody.jsf?fop=","PL.ZIPOP.1393.PP.1008021.327"),"(kliknij lub Ctrl+kliknij)")</f>
        <v>(kliknij lub Ctrl+kliknij)</v>
      </c>
      <c r="H436" s="0" t="s">
        <v>733</v>
      </c>
    </row>
    <row r="437" customFormat="false" ht="12.8" hidden="false" customHeight="false" outlineLevel="0" collapsed="false">
      <c r="A437" s="1" t="s">
        <v>569</v>
      </c>
      <c r="C437" s="3" t="s">
        <v>713</v>
      </c>
      <c r="D437" s="4" t="s">
        <v>571</v>
      </c>
      <c r="F437" s="6" t="s">
        <v>714</v>
      </c>
      <c r="G437" s="7" t="str">
        <f aca="false">HYPERLINK(CONCATENATE("http://crfop.gdos.gov.pl/CRFOP/widok/viewpomnikprzyrody.jsf?fop=","PL.ZIPOP.1393.PP.1008021.328"),"(kliknij lub Ctrl+kliknij)")</f>
        <v>(kliknij lub Ctrl+kliknij)</v>
      </c>
      <c r="H437" s="0" t="s">
        <v>733</v>
      </c>
    </row>
    <row r="438" customFormat="false" ht="12.8" hidden="false" customHeight="false" outlineLevel="0" collapsed="false">
      <c r="A438" s="1" t="s">
        <v>569</v>
      </c>
      <c r="C438" s="3" t="s">
        <v>713</v>
      </c>
      <c r="D438" s="4" t="s">
        <v>571</v>
      </c>
      <c r="F438" s="6" t="s">
        <v>714</v>
      </c>
      <c r="G438" s="7" t="str">
        <f aca="false">HYPERLINK(CONCATENATE("http://crfop.gdos.gov.pl/CRFOP/widok/viewpomnikprzyrody.jsf?fop=","PL.ZIPOP.1393.PP.1008021.329"),"(kliknij lub Ctrl+kliknij)")</f>
        <v>(kliknij lub Ctrl+kliknij)</v>
      </c>
      <c r="H438" s="0" t="s">
        <v>733</v>
      </c>
    </row>
    <row r="439" customFormat="false" ht="12.8" hidden="false" customHeight="false" outlineLevel="0" collapsed="false">
      <c r="A439" s="1" t="s">
        <v>569</v>
      </c>
      <c r="C439" s="3" t="s">
        <v>713</v>
      </c>
      <c r="D439" s="4" t="s">
        <v>571</v>
      </c>
      <c r="F439" s="6" t="s">
        <v>714</v>
      </c>
      <c r="G439" s="7" t="str">
        <f aca="false">HYPERLINK(CONCATENATE("http://crfop.gdos.gov.pl/CRFOP/widok/viewpomnikprzyrody.jsf?fop=","PL.ZIPOP.1393.PP.1008021.330"),"(kliknij lub Ctrl+kliknij)")</f>
        <v>(kliknij lub Ctrl+kliknij)</v>
      </c>
      <c r="H439" s="0" t="s">
        <v>733</v>
      </c>
    </row>
    <row r="440" customFormat="false" ht="12.8" hidden="false" customHeight="false" outlineLevel="0" collapsed="false">
      <c r="A440" s="1" t="s">
        <v>569</v>
      </c>
      <c r="C440" s="3" t="s">
        <v>713</v>
      </c>
      <c r="D440" s="4" t="s">
        <v>571</v>
      </c>
      <c r="F440" s="6" t="s">
        <v>714</v>
      </c>
      <c r="G440" s="7" t="str">
        <f aca="false">HYPERLINK(CONCATENATE("http://crfop.gdos.gov.pl/CRFOP/widok/viewpomnikprzyrody.jsf?fop=","PL.ZIPOP.1393.PP.1008021.336"),"(kliknij lub Ctrl+kliknij)")</f>
        <v>(kliknij lub Ctrl+kliknij)</v>
      </c>
      <c r="H440" s="0" t="s">
        <v>733</v>
      </c>
    </row>
    <row r="441" customFormat="false" ht="12.8" hidden="false" customHeight="false" outlineLevel="0" collapsed="false">
      <c r="A441" s="1" t="s">
        <v>569</v>
      </c>
      <c r="C441" s="3" t="s">
        <v>713</v>
      </c>
      <c r="D441" s="4" t="s">
        <v>571</v>
      </c>
      <c r="F441" s="6" t="s">
        <v>714</v>
      </c>
      <c r="G441" s="7" t="str">
        <f aca="false">HYPERLINK(CONCATENATE("http://crfop.gdos.gov.pl/CRFOP/widok/viewpomnikprzyrody.jsf?fop=","PL.ZIPOP.1393.PP.1008021.338"),"(kliknij lub Ctrl+kliknij)")</f>
        <v>(kliknij lub Ctrl+kliknij)</v>
      </c>
      <c r="H441" s="0" t="s">
        <v>733</v>
      </c>
    </row>
    <row r="442" customFormat="false" ht="12.8" hidden="false" customHeight="false" outlineLevel="0" collapsed="false">
      <c r="A442" s="1" t="s">
        <v>569</v>
      </c>
      <c r="C442" s="3" t="s">
        <v>713</v>
      </c>
      <c r="D442" s="4" t="s">
        <v>571</v>
      </c>
      <c r="F442" s="6" t="s">
        <v>714</v>
      </c>
      <c r="G442" s="7" t="str">
        <f aca="false">HYPERLINK(CONCATENATE("http://crfop.gdos.gov.pl/CRFOP/widok/viewpomnikprzyrody.jsf?fop=","PL.ZIPOP.1393.PP.1008021.339"),"(kliknij lub Ctrl+kliknij)")</f>
        <v>(kliknij lub Ctrl+kliknij)</v>
      </c>
      <c r="H442" s="0" t="s">
        <v>733</v>
      </c>
    </row>
    <row r="443" customFormat="false" ht="12.8" hidden="false" customHeight="false" outlineLevel="0" collapsed="false">
      <c r="A443" s="1" t="s">
        <v>569</v>
      </c>
      <c r="C443" s="3" t="s">
        <v>734</v>
      </c>
      <c r="D443" s="4" t="s">
        <v>571</v>
      </c>
      <c r="F443" s="6" t="s">
        <v>735</v>
      </c>
      <c r="G443" s="7" t="str">
        <f aca="false">HYPERLINK(CONCATENATE("http://crfop.gdos.gov.pl/CRFOP/widok/viewpomnikprzyrody.jsf?fop=","PL.ZIPOP.1393.PP.1008021.340"),"(kliknij lub Ctrl+kliknij)")</f>
        <v>(kliknij lub Ctrl+kliknij)</v>
      </c>
      <c r="H443" s="0" t="s">
        <v>733</v>
      </c>
    </row>
    <row r="444" customFormat="false" ht="12.8" hidden="false" customHeight="false" outlineLevel="0" collapsed="false">
      <c r="A444" s="1" t="s">
        <v>569</v>
      </c>
      <c r="C444" s="3" t="s">
        <v>736</v>
      </c>
      <c r="D444" s="4" t="s">
        <v>571</v>
      </c>
      <c r="F444" s="6" t="s">
        <v>737</v>
      </c>
      <c r="G444" s="7" t="str">
        <f aca="false">HYPERLINK(CONCATENATE("http://crfop.gdos.gov.pl/CRFOP/widok/viewpomnikprzyrody.jsf?fop=","PL.ZIPOP.1393.PP.1008021.341"),"(kliknij lub Ctrl+kliknij)")</f>
        <v>(kliknij lub Ctrl+kliknij)</v>
      </c>
      <c r="H444" s="0" t="s">
        <v>733</v>
      </c>
    </row>
    <row r="445" customFormat="false" ht="12.8" hidden="false" customHeight="false" outlineLevel="0" collapsed="false">
      <c r="A445" s="1" t="s">
        <v>569</v>
      </c>
      <c r="C445" s="3" t="s">
        <v>570</v>
      </c>
      <c r="D445" s="4" t="s">
        <v>571</v>
      </c>
      <c r="F445" s="6" t="s">
        <v>572</v>
      </c>
      <c r="G445" s="7" t="str">
        <f aca="false">HYPERLINK(CONCATENATE("http://crfop.gdos.gov.pl/CRFOP/widok/viewpomnikprzyrody.jsf?fop=","PL.ZIPOP.1393.PP.1008032.342"),"(kliknij lub Ctrl+kliknij)")</f>
        <v>(kliknij lub Ctrl+kliknij)</v>
      </c>
      <c r="H445" s="0" t="s">
        <v>738</v>
      </c>
    </row>
    <row r="446" customFormat="false" ht="12.8" hidden="false" customHeight="false" outlineLevel="0" collapsed="false">
      <c r="A446" s="1" t="s">
        <v>569</v>
      </c>
      <c r="C446" s="3" t="s">
        <v>591</v>
      </c>
      <c r="D446" s="4" t="s">
        <v>571</v>
      </c>
      <c r="F446" s="6" t="s">
        <v>592</v>
      </c>
      <c r="G446" s="7" t="str">
        <f aca="false">HYPERLINK(CONCATENATE("http://crfop.gdos.gov.pl/CRFOP/widok/viewpomnikprzyrody.jsf?fop=","PL.ZIPOP.1393.PP.1008032.344"),"(kliknij lub Ctrl+kliknij)")</f>
        <v>(kliknij lub Ctrl+kliknij)</v>
      </c>
      <c r="H446" s="0" t="s">
        <v>738</v>
      </c>
    </row>
    <row r="447" customFormat="false" ht="12.8" hidden="false" customHeight="false" outlineLevel="0" collapsed="false">
      <c r="A447" s="1" t="s">
        <v>569</v>
      </c>
      <c r="C447" s="3" t="s">
        <v>591</v>
      </c>
      <c r="D447" s="4" t="s">
        <v>571</v>
      </c>
      <c r="F447" s="6" t="s">
        <v>592</v>
      </c>
      <c r="G447" s="7" t="str">
        <f aca="false">HYPERLINK(CONCATENATE("http://crfop.gdos.gov.pl/CRFOP/widok/viewpomnikprzyrody.jsf?fop=","PL.ZIPOP.1393.PP.1008032.345"),"(kliknij lub Ctrl+kliknij)")</f>
        <v>(kliknij lub Ctrl+kliknij)</v>
      </c>
      <c r="H447" s="0" t="s">
        <v>738</v>
      </c>
    </row>
    <row r="448" customFormat="false" ht="12.8" hidden="false" customHeight="false" outlineLevel="0" collapsed="false">
      <c r="A448" s="1" t="s">
        <v>569</v>
      </c>
      <c r="C448" s="3" t="s">
        <v>574</v>
      </c>
      <c r="D448" s="4" t="s">
        <v>571</v>
      </c>
      <c r="F448" s="6" t="s">
        <v>575</v>
      </c>
      <c r="G448" s="7" t="str">
        <f aca="false">HYPERLINK(CONCATENATE("http://crfop.gdos.gov.pl/CRFOP/widok/viewpomnikprzyrody.jsf?fop=","PL.ZIPOP.1393.PP.1008032.346"),"(kliknij lub Ctrl+kliknij)")</f>
        <v>(kliknij lub Ctrl+kliknij)</v>
      </c>
      <c r="H448" s="0" t="s">
        <v>738</v>
      </c>
    </row>
    <row r="449" customFormat="false" ht="12.8" hidden="false" customHeight="false" outlineLevel="0" collapsed="false">
      <c r="A449" s="1" t="s">
        <v>569</v>
      </c>
      <c r="C449" s="3" t="s">
        <v>584</v>
      </c>
      <c r="D449" s="4" t="s">
        <v>571</v>
      </c>
      <c r="F449" s="6" t="s">
        <v>585</v>
      </c>
      <c r="G449" s="7" t="str">
        <f aca="false">HYPERLINK(CONCATENATE("http://crfop.gdos.gov.pl/CRFOP/widok/viewpomnikprzyrody.jsf?fop=","PL.ZIPOP.1393.PP.1008042.361"),"(kliknij lub Ctrl+kliknij)")</f>
        <v>(kliknij lub Ctrl+kliknij)</v>
      </c>
      <c r="H449" s="0" t="s">
        <v>477</v>
      </c>
    </row>
    <row r="450" customFormat="false" ht="12.8" hidden="false" customHeight="false" outlineLevel="0" collapsed="false">
      <c r="A450" s="1" t="s">
        <v>569</v>
      </c>
      <c r="C450" s="3" t="s">
        <v>584</v>
      </c>
      <c r="D450" s="4" t="s">
        <v>571</v>
      </c>
      <c r="F450" s="6" t="s">
        <v>585</v>
      </c>
      <c r="G450" s="7" t="str">
        <f aca="false">HYPERLINK(CONCATENATE("http://crfop.gdos.gov.pl/CRFOP/widok/viewpomnikprzyrody.jsf?fop=","PL.ZIPOP.1393.PP.1008042.362"),"(kliknij lub Ctrl+kliknij)")</f>
        <v>(kliknij lub Ctrl+kliknij)</v>
      </c>
      <c r="H450" s="0" t="s">
        <v>477</v>
      </c>
    </row>
    <row r="451" customFormat="false" ht="12.8" hidden="false" customHeight="false" outlineLevel="0" collapsed="false">
      <c r="A451" s="1" t="s">
        <v>569</v>
      </c>
      <c r="C451" s="3" t="s">
        <v>584</v>
      </c>
      <c r="D451" s="4" t="s">
        <v>571</v>
      </c>
      <c r="F451" s="6" t="s">
        <v>585</v>
      </c>
      <c r="G451" s="7" t="str">
        <f aca="false">HYPERLINK(CONCATENATE("http://crfop.gdos.gov.pl/CRFOP/widok/viewpomnikprzyrody.jsf?fop=","PL.ZIPOP.1393.PP.1008042.363"),"(kliknij lub Ctrl+kliknij)")</f>
        <v>(kliknij lub Ctrl+kliknij)</v>
      </c>
      <c r="H451" s="0" t="s">
        <v>477</v>
      </c>
    </row>
    <row r="452" customFormat="false" ht="12.8" hidden="false" customHeight="false" outlineLevel="0" collapsed="false">
      <c r="A452" s="1" t="s">
        <v>569</v>
      </c>
      <c r="C452" s="3" t="s">
        <v>584</v>
      </c>
      <c r="D452" s="4" t="s">
        <v>571</v>
      </c>
      <c r="F452" s="6" t="s">
        <v>585</v>
      </c>
      <c r="G452" s="7" t="str">
        <f aca="false">HYPERLINK(CONCATENATE("http://crfop.gdos.gov.pl/CRFOP/widok/viewpomnikprzyrody.jsf?fop=","PL.ZIPOP.1393.PP.1008042.364"),"(kliknij lub Ctrl+kliknij)")</f>
        <v>(kliknij lub Ctrl+kliknij)</v>
      </c>
      <c r="H452" s="0" t="s">
        <v>477</v>
      </c>
    </row>
    <row r="453" customFormat="false" ht="12.8" hidden="false" customHeight="false" outlineLevel="0" collapsed="false">
      <c r="A453" s="1" t="s">
        <v>569</v>
      </c>
      <c r="C453" s="3" t="s">
        <v>584</v>
      </c>
      <c r="D453" s="4" t="s">
        <v>571</v>
      </c>
      <c r="F453" s="6" t="s">
        <v>585</v>
      </c>
      <c r="G453" s="7" t="str">
        <f aca="false">HYPERLINK(CONCATENATE("http://crfop.gdos.gov.pl/CRFOP/widok/viewpomnikprzyrody.jsf?fop=","PL.ZIPOP.1393.PP.1008042.365"),"(kliknij lub Ctrl+kliknij)")</f>
        <v>(kliknij lub Ctrl+kliknij)</v>
      </c>
      <c r="H453" s="0" t="s">
        <v>477</v>
      </c>
    </row>
    <row r="454" customFormat="false" ht="12.8" hidden="false" customHeight="false" outlineLevel="0" collapsed="false">
      <c r="A454" s="1" t="s">
        <v>569</v>
      </c>
      <c r="C454" s="3" t="s">
        <v>739</v>
      </c>
      <c r="D454" s="4" t="s">
        <v>571</v>
      </c>
      <c r="F454" s="6" t="s">
        <v>740</v>
      </c>
      <c r="G454" s="7" t="str">
        <f aca="false">HYPERLINK(CONCATENATE("http://crfop.gdos.gov.pl/CRFOP/widok/viewpomnikprzyrody.jsf?fop=","PL.ZIPOP.1393.PP.1008042.367"),"(kliknij lub Ctrl+kliknij)")</f>
        <v>(kliknij lub Ctrl+kliknij)</v>
      </c>
      <c r="H454" s="0" t="s">
        <v>477</v>
      </c>
    </row>
    <row r="455" customFormat="false" ht="12.8" hidden="false" customHeight="false" outlineLevel="0" collapsed="false">
      <c r="A455" s="1" t="s">
        <v>569</v>
      </c>
      <c r="C455" s="3" t="s">
        <v>584</v>
      </c>
      <c r="D455" s="4" t="s">
        <v>571</v>
      </c>
      <c r="F455" s="6" t="s">
        <v>585</v>
      </c>
      <c r="G455" s="7" t="str">
        <f aca="false">HYPERLINK(CONCATENATE("http://crfop.gdos.gov.pl/CRFOP/widok/viewpomnikprzyrody.jsf?fop=","PL.ZIPOP.1393.PP.1008042.368"),"(kliknij lub Ctrl+kliknij)")</f>
        <v>(kliknij lub Ctrl+kliknij)</v>
      </c>
      <c r="H455" s="0" t="s">
        <v>477</v>
      </c>
    </row>
    <row r="456" customFormat="false" ht="12.8" hidden="false" customHeight="false" outlineLevel="0" collapsed="false">
      <c r="A456" s="1" t="s">
        <v>569</v>
      </c>
      <c r="C456" s="3" t="s">
        <v>584</v>
      </c>
      <c r="D456" s="4" t="s">
        <v>571</v>
      </c>
      <c r="F456" s="6" t="s">
        <v>585</v>
      </c>
      <c r="G456" s="7" t="str">
        <f aca="false">HYPERLINK(CONCATENATE("http://crfop.gdos.gov.pl/CRFOP/widok/viewpomnikprzyrody.jsf?fop=","PL.ZIPOP.1393.PP.1008042.369"),"(kliknij lub Ctrl+kliknij)")</f>
        <v>(kliknij lub Ctrl+kliknij)</v>
      </c>
      <c r="H456" s="0" t="s">
        <v>477</v>
      </c>
    </row>
    <row r="457" customFormat="false" ht="12.8" hidden="false" customHeight="false" outlineLevel="0" collapsed="false">
      <c r="A457" s="1" t="s">
        <v>569</v>
      </c>
      <c r="C457" s="3" t="s">
        <v>584</v>
      </c>
      <c r="D457" s="4" t="s">
        <v>571</v>
      </c>
      <c r="F457" s="6" t="s">
        <v>585</v>
      </c>
      <c r="G457" s="7" t="str">
        <f aca="false">HYPERLINK(CONCATENATE("http://crfop.gdos.gov.pl/CRFOP/widok/viewpomnikprzyrody.jsf?fop=","PL.ZIPOP.1393.PP.1008042.370"),"(kliknij lub Ctrl+kliknij)")</f>
        <v>(kliknij lub Ctrl+kliknij)</v>
      </c>
      <c r="H457" s="0" t="s">
        <v>477</v>
      </c>
    </row>
    <row r="458" customFormat="false" ht="12.8" hidden="false" customHeight="false" outlineLevel="0" collapsed="false">
      <c r="A458" s="1" t="s">
        <v>569</v>
      </c>
      <c r="C458" s="3" t="s">
        <v>710</v>
      </c>
      <c r="D458" s="4" t="s">
        <v>571</v>
      </c>
      <c r="F458" s="6" t="s">
        <v>711</v>
      </c>
      <c r="G458" s="7" t="str">
        <f aca="false">HYPERLINK(CONCATENATE("http://crfop.gdos.gov.pl/CRFOP/widok/viewpomnikprzyrody.jsf?fop=","PL.ZIPOP.1393.PP.1008052.351"),"(kliknij lub Ctrl+kliknij)")</f>
        <v>(kliknij lub Ctrl+kliknij)</v>
      </c>
      <c r="H458" s="0" t="s">
        <v>741</v>
      </c>
    </row>
    <row r="459" customFormat="false" ht="12.8" hidden="false" customHeight="false" outlineLevel="0" collapsed="false">
      <c r="A459" s="1" t="s">
        <v>569</v>
      </c>
      <c r="C459" s="3" t="s">
        <v>584</v>
      </c>
      <c r="D459" s="4" t="s">
        <v>571</v>
      </c>
      <c r="F459" s="6" t="s">
        <v>585</v>
      </c>
      <c r="G459" s="7" t="str">
        <f aca="false">HYPERLINK(CONCATENATE("http://crfop.gdos.gov.pl/CRFOP/widok/viewpomnikprzyrody.jsf?fop=","PL.ZIPOP.1393.PP.1008062.353"),"(kliknij lub Ctrl+kliknij)")</f>
        <v>(kliknij lub Ctrl+kliknij)</v>
      </c>
      <c r="H459" s="0" t="s">
        <v>742</v>
      </c>
    </row>
    <row r="460" customFormat="false" ht="12.8" hidden="false" customHeight="false" outlineLevel="0" collapsed="false">
      <c r="A460" s="1" t="s">
        <v>569</v>
      </c>
      <c r="C460" s="3" t="s">
        <v>584</v>
      </c>
      <c r="D460" s="4" t="s">
        <v>571</v>
      </c>
      <c r="F460" s="6" t="s">
        <v>585</v>
      </c>
      <c r="G460" s="7" t="str">
        <f aca="false">HYPERLINK(CONCATENATE("http://crfop.gdos.gov.pl/CRFOP/widok/viewpomnikprzyrody.jsf?fop=","PL.ZIPOP.1393.PP.1008062.354"),"(kliknij lub Ctrl+kliknij)")</f>
        <v>(kliknij lub Ctrl+kliknij)</v>
      </c>
      <c r="H460" s="0" t="s">
        <v>742</v>
      </c>
    </row>
    <row r="461" customFormat="false" ht="12.8" hidden="false" customHeight="false" outlineLevel="0" collapsed="false">
      <c r="A461" s="1" t="s">
        <v>569</v>
      </c>
      <c r="C461" s="3" t="s">
        <v>584</v>
      </c>
      <c r="D461" s="4" t="s">
        <v>571</v>
      </c>
      <c r="F461" s="6" t="s">
        <v>585</v>
      </c>
      <c r="G461" s="7" t="str">
        <f aca="false">HYPERLINK(CONCATENATE("http://crfop.gdos.gov.pl/CRFOP/widok/viewpomnikprzyrody.jsf?fop=","PL.ZIPOP.1393.PP.1008062.355"),"(kliknij lub Ctrl+kliknij)")</f>
        <v>(kliknij lub Ctrl+kliknij)</v>
      </c>
      <c r="H461" s="0" t="s">
        <v>742</v>
      </c>
    </row>
    <row r="462" customFormat="false" ht="12.8" hidden="false" customHeight="false" outlineLevel="0" collapsed="false">
      <c r="A462" s="1" t="s">
        <v>569</v>
      </c>
      <c r="C462" s="3" t="s">
        <v>584</v>
      </c>
      <c r="D462" s="4" t="s">
        <v>571</v>
      </c>
      <c r="F462" s="6" t="s">
        <v>585</v>
      </c>
      <c r="G462" s="7" t="str">
        <f aca="false">HYPERLINK(CONCATENATE("http://crfop.gdos.gov.pl/CRFOP/widok/viewpomnikprzyrody.jsf?fop=","PL.ZIPOP.1393.PP.1008062.356"),"(kliknij lub Ctrl+kliknij)")</f>
        <v>(kliknij lub Ctrl+kliknij)</v>
      </c>
      <c r="H462" s="0" t="s">
        <v>742</v>
      </c>
    </row>
    <row r="463" customFormat="false" ht="12.8" hidden="false" customHeight="false" outlineLevel="0" collapsed="false">
      <c r="A463" s="1" t="s">
        <v>569</v>
      </c>
      <c r="C463" s="3" t="s">
        <v>584</v>
      </c>
      <c r="D463" s="4" t="s">
        <v>571</v>
      </c>
      <c r="F463" s="6" t="s">
        <v>585</v>
      </c>
      <c r="G463" s="7" t="str">
        <f aca="false">HYPERLINK(CONCATENATE("http://crfop.gdos.gov.pl/CRFOP/widok/viewpomnikprzyrody.jsf?fop=","PL.ZIPOP.1393.PP.1008062.357"),"(kliknij lub Ctrl+kliknij)")</f>
        <v>(kliknij lub Ctrl+kliknij)</v>
      </c>
      <c r="H463" s="0" t="s">
        <v>742</v>
      </c>
    </row>
    <row r="464" customFormat="false" ht="12.8" hidden="false" customHeight="false" outlineLevel="0" collapsed="false">
      <c r="A464" s="1" t="s">
        <v>569</v>
      </c>
      <c r="C464" s="3" t="s">
        <v>584</v>
      </c>
      <c r="D464" s="4" t="s">
        <v>571</v>
      </c>
      <c r="F464" s="6" t="s">
        <v>585</v>
      </c>
      <c r="G464" s="7" t="str">
        <f aca="false">HYPERLINK(CONCATENATE("http://crfop.gdos.gov.pl/CRFOP/widok/viewpomnikprzyrody.jsf?fop=","PL.ZIPOP.1393.PP.1008062.358"),"(kliknij lub Ctrl+kliknij)")</f>
        <v>(kliknij lub Ctrl+kliknij)</v>
      </c>
      <c r="H464" s="0" t="s">
        <v>742</v>
      </c>
    </row>
    <row r="465" customFormat="false" ht="12.8" hidden="false" customHeight="false" outlineLevel="0" collapsed="false">
      <c r="A465" s="1" t="s">
        <v>569</v>
      </c>
      <c r="C465" s="3" t="s">
        <v>584</v>
      </c>
      <c r="D465" s="4" t="s">
        <v>571</v>
      </c>
      <c r="F465" s="6" t="s">
        <v>585</v>
      </c>
      <c r="G465" s="7" t="str">
        <f aca="false">HYPERLINK(CONCATENATE("http://crfop.gdos.gov.pl/CRFOP/widok/viewpomnikprzyrody.jsf?fop=","PL.ZIPOP.1393.PP.1008062.359"),"(kliknij lub Ctrl+kliknij)")</f>
        <v>(kliknij lub Ctrl+kliknij)</v>
      </c>
      <c r="H465" s="0" t="s">
        <v>742</v>
      </c>
    </row>
    <row r="466" customFormat="false" ht="12.8" hidden="false" customHeight="false" outlineLevel="0" collapsed="false">
      <c r="A466" s="1" t="s">
        <v>569</v>
      </c>
      <c r="C466" s="3" t="s">
        <v>584</v>
      </c>
      <c r="D466" s="4" t="s">
        <v>571</v>
      </c>
      <c r="F466" s="6" t="s">
        <v>585</v>
      </c>
      <c r="G466" s="7" t="str">
        <f aca="false">HYPERLINK(CONCATENATE("http://crfop.gdos.gov.pl/CRFOP/widok/viewpomnikprzyrody.jsf?fop=","PL.ZIPOP.1393.PP.1008062.360"),"(kliknij lub Ctrl+kliknij)")</f>
        <v>(kliknij lub Ctrl+kliknij)</v>
      </c>
      <c r="H466" s="0" t="s">
        <v>742</v>
      </c>
    </row>
    <row r="467" customFormat="false" ht="12.8" hidden="false" customHeight="false" outlineLevel="0" collapsed="false">
      <c r="A467" s="1" t="s">
        <v>569</v>
      </c>
      <c r="C467" s="3" t="s">
        <v>707</v>
      </c>
      <c r="D467" s="4" t="s">
        <v>571</v>
      </c>
      <c r="F467" s="6" t="s">
        <v>708</v>
      </c>
      <c r="G467" s="7" t="str">
        <f aca="false">HYPERLINK(CONCATENATE("http://crfop.gdos.gov.pl/CRFOP/widok/viewpomnikprzyrody.jsf?fop=","PL.ZIPOP.1393.PP.1008072.306"),"(kliknij lub Ctrl+kliknij)")</f>
        <v>(kliknij lub Ctrl+kliknij)</v>
      </c>
      <c r="H467" s="0" t="s">
        <v>733</v>
      </c>
    </row>
    <row r="468" customFormat="false" ht="12.8" hidden="false" customHeight="false" outlineLevel="0" collapsed="false">
      <c r="A468" s="1" t="s">
        <v>569</v>
      </c>
      <c r="C468" s="3" t="s">
        <v>707</v>
      </c>
      <c r="D468" s="4" t="s">
        <v>571</v>
      </c>
      <c r="F468" s="6" t="s">
        <v>708</v>
      </c>
      <c r="G468" s="7" t="str">
        <f aca="false">HYPERLINK(CONCATENATE("http://crfop.gdos.gov.pl/CRFOP/widok/viewpomnikprzyrody.jsf?fop=","PL.ZIPOP.1393.PP.1008072.307"),"(kliknij lub Ctrl+kliknij)")</f>
        <v>(kliknij lub Ctrl+kliknij)</v>
      </c>
      <c r="H468" s="0" t="s">
        <v>733</v>
      </c>
    </row>
    <row r="469" customFormat="false" ht="12.8" hidden="false" customHeight="false" outlineLevel="0" collapsed="false">
      <c r="A469" s="1" t="s">
        <v>569</v>
      </c>
      <c r="C469" s="3" t="s">
        <v>710</v>
      </c>
      <c r="D469" s="4" t="s">
        <v>571</v>
      </c>
      <c r="F469" s="6" t="s">
        <v>711</v>
      </c>
      <c r="G469" s="7" t="str">
        <f aca="false">HYPERLINK(CONCATENATE("http://crfop.gdos.gov.pl/CRFOP/widok/viewpomnikprzyrody.jsf?fop=","PL.ZIPOP.1393.PP.1008072.308"),"(kliknij lub Ctrl+kliknij)")</f>
        <v>(kliknij lub Ctrl+kliknij)</v>
      </c>
      <c r="H469" s="0" t="s">
        <v>733</v>
      </c>
    </row>
    <row r="470" customFormat="false" ht="12.8" hidden="false" customHeight="false" outlineLevel="0" collapsed="false">
      <c r="A470" s="1" t="s">
        <v>569</v>
      </c>
      <c r="C470" s="3" t="s">
        <v>713</v>
      </c>
      <c r="D470" s="4" t="s">
        <v>571</v>
      </c>
      <c r="F470" s="6" t="s">
        <v>714</v>
      </c>
      <c r="G470" s="7" t="str">
        <f aca="false">HYPERLINK(CONCATENATE("http://crfop.gdos.gov.pl/CRFOP/widok/viewpomnikprzyrody.jsf?fop=","PL.ZIPOP.1393.PP.1008072.309"),"(kliknij lub Ctrl+kliknij)")</f>
        <v>(kliknij lub Ctrl+kliknij)</v>
      </c>
      <c r="H470" s="0" t="s">
        <v>733</v>
      </c>
    </row>
    <row r="471" customFormat="false" ht="12.8" hidden="false" customHeight="false" outlineLevel="0" collapsed="false">
      <c r="A471" s="1" t="s">
        <v>569</v>
      </c>
      <c r="C471" s="3" t="s">
        <v>710</v>
      </c>
      <c r="D471" s="4" t="s">
        <v>571</v>
      </c>
      <c r="F471" s="6" t="s">
        <v>711</v>
      </c>
      <c r="G471" s="7" t="str">
        <f aca="false">HYPERLINK(CONCATENATE("http://crfop.gdos.gov.pl/CRFOP/widok/viewpomnikprzyrody.jsf?fop=","PL.ZIPOP.1393.PP.1008072.311"),"(kliknij lub Ctrl+kliknij)")</f>
        <v>(kliknij lub Ctrl+kliknij)</v>
      </c>
      <c r="H471" s="0" t="s">
        <v>733</v>
      </c>
    </row>
    <row r="472" customFormat="false" ht="12.8" hidden="false" customHeight="false" outlineLevel="0" collapsed="false">
      <c r="A472" s="1" t="s">
        <v>569</v>
      </c>
      <c r="C472" s="3" t="s">
        <v>713</v>
      </c>
      <c r="D472" s="4" t="s">
        <v>571</v>
      </c>
      <c r="F472" s="6" t="s">
        <v>714</v>
      </c>
      <c r="G472" s="7" t="str">
        <f aca="false">HYPERLINK(CONCATENATE("http://crfop.gdos.gov.pl/CRFOP/widok/viewpomnikprzyrody.jsf?fop=","PL.ZIPOP.1393.PP.1008072.312"),"(kliknij lub Ctrl+kliknij)")</f>
        <v>(kliknij lub Ctrl+kliknij)</v>
      </c>
      <c r="H472" s="0" t="s">
        <v>733</v>
      </c>
    </row>
    <row r="473" customFormat="false" ht="12.8" hidden="false" customHeight="false" outlineLevel="0" collapsed="false">
      <c r="A473" s="1" t="s">
        <v>569</v>
      </c>
      <c r="C473" s="3" t="s">
        <v>713</v>
      </c>
      <c r="D473" s="4" t="s">
        <v>571</v>
      </c>
      <c r="F473" s="6" t="s">
        <v>714</v>
      </c>
      <c r="G473" s="7" t="str">
        <f aca="false">HYPERLINK(CONCATENATE("http://crfop.gdos.gov.pl/CRFOP/widok/viewpomnikprzyrody.jsf?fop=","PL.ZIPOP.1393.PP.1008072.313"),"(kliknij lub Ctrl+kliknij)")</f>
        <v>(kliknij lub Ctrl+kliknij)</v>
      </c>
      <c r="H473" s="0" t="s">
        <v>733</v>
      </c>
    </row>
    <row r="474" customFormat="false" ht="12.8" hidden="false" customHeight="false" outlineLevel="0" collapsed="false">
      <c r="A474" s="1" t="s">
        <v>569</v>
      </c>
      <c r="C474" s="3" t="s">
        <v>713</v>
      </c>
      <c r="D474" s="4" t="s">
        <v>571</v>
      </c>
      <c r="F474" s="6" t="s">
        <v>714</v>
      </c>
      <c r="G474" s="7" t="str">
        <f aca="false">HYPERLINK(CONCATENATE("http://crfop.gdos.gov.pl/CRFOP/widok/viewpomnikprzyrody.jsf?fop=","PL.ZIPOP.1393.PP.1008072.315"),"(kliknij lub Ctrl+kliknij)")</f>
        <v>(kliknij lub Ctrl+kliknij)</v>
      </c>
      <c r="H474" s="0" t="s">
        <v>733</v>
      </c>
    </row>
    <row r="475" customFormat="false" ht="12.8" hidden="false" customHeight="false" outlineLevel="0" collapsed="false">
      <c r="A475" s="1" t="s">
        <v>569</v>
      </c>
      <c r="C475" s="3" t="s">
        <v>713</v>
      </c>
      <c r="D475" s="4" t="s">
        <v>571</v>
      </c>
      <c r="F475" s="6" t="s">
        <v>714</v>
      </c>
      <c r="G475" s="7" t="str">
        <f aca="false">HYPERLINK(CONCATENATE("http://crfop.gdos.gov.pl/CRFOP/widok/viewpomnikprzyrody.jsf?fop=","PL.ZIPOP.1393.PP.1008072.316"),"(kliknij lub Ctrl+kliknij)")</f>
        <v>(kliknij lub Ctrl+kliknij)</v>
      </c>
      <c r="H475" s="0" t="s">
        <v>733</v>
      </c>
    </row>
    <row r="476" customFormat="false" ht="12.8" hidden="false" customHeight="false" outlineLevel="0" collapsed="false">
      <c r="A476" s="1" t="s">
        <v>569</v>
      </c>
      <c r="C476" s="3" t="s">
        <v>713</v>
      </c>
      <c r="D476" s="4" t="s">
        <v>571</v>
      </c>
      <c r="F476" s="6" t="s">
        <v>714</v>
      </c>
      <c r="G476" s="7" t="str">
        <f aca="false">HYPERLINK(CONCATENATE("http://crfop.gdos.gov.pl/CRFOP/widok/viewpomnikprzyrody.jsf?fop=","PL.ZIPOP.1393.PP.1008072.317"),"(kliknij lub Ctrl+kliknij)")</f>
        <v>(kliknij lub Ctrl+kliknij)</v>
      </c>
      <c r="H476" s="0" t="s">
        <v>733</v>
      </c>
    </row>
    <row r="477" customFormat="false" ht="12.8" hidden="false" customHeight="false" outlineLevel="0" collapsed="false">
      <c r="A477" s="1" t="s">
        <v>569</v>
      </c>
      <c r="C477" s="3" t="s">
        <v>713</v>
      </c>
      <c r="D477" s="4" t="s">
        <v>571</v>
      </c>
      <c r="F477" s="6" t="s">
        <v>714</v>
      </c>
      <c r="G477" s="7" t="str">
        <f aca="false">HYPERLINK(CONCATENATE("http://crfop.gdos.gov.pl/CRFOP/widok/viewpomnikprzyrody.jsf?fop=","PL.ZIPOP.1393.PP.1008072.319"),"(kliknij lub Ctrl+kliknij)")</f>
        <v>(kliknij lub Ctrl+kliknij)</v>
      </c>
      <c r="H477" s="0" t="s">
        <v>733</v>
      </c>
    </row>
    <row r="478" customFormat="false" ht="12.8" hidden="false" customHeight="false" outlineLevel="0" collapsed="false">
      <c r="A478" s="1" t="s">
        <v>569</v>
      </c>
      <c r="C478" s="3" t="s">
        <v>713</v>
      </c>
      <c r="D478" s="4" t="s">
        <v>571</v>
      </c>
      <c r="F478" s="6" t="s">
        <v>714</v>
      </c>
      <c r="G478" s="7" t="str">
        <f aca="false">HYPERLINK(CONCATENATE("http://crfop.gdos.gov.pl/CRFOP/widok/viewpomnikprzyrody.jsf?fop=","PL.ZIPOP.1393.PP.1008072.320"),"(kliknij lub Ctrl+kliknij)")</f>
        <v>(kliknij lub Ctrl+kliknij)</v>
      </c>
      <c r="H478" s="0" t="s">
        <v>733</v>
      </c>
    </row>
    <row r="479" customFormat="false" ht="12.8" hidden="false" customHeight="false" outlineLevel="0" collapsed="false">
      <c r="A479" s="1" t="s">
        <v>569</v>
      </c>
      <c r="C479" s="3" t="s">
        <v>713</v>
      </c>
      <c r="D479" s="4" t="s">
        <v>571</v>
      </c>
      <c r="F479" s="6" t="s">
        <v>714</v>
      </c>
      <c r="G479" s="7" t="str">
        <f aca="false">HYPERLINK(CONCATENATE("http://crfop.gdos.gov.pl/CRFOP/widok/viewpomnikprzyrody.jsf?fop=","PL.ZIPOP.1393.PP.1008072.321"),"(kliknij lub Ctrl+kliknij)")</f>
        <v>(kliknij lub Ctrl+kliknij)</v>
      </c>
      <c r="H479" s="0" t="s">
        <v>733</v>
      </c>
    </row>
    <row r="480" customFormat="false" ht="12.8" hidden="false" customHeight="false" outlineLevel="0" collapsed="false">
      <c r="A480" s="1" t="s">
        <v>569</v>
      </c>
      <c r="C480" s="3" t="s">
        <v>471</v>
      </c>
      <c r="D480" s="4" t="s">
        <v>571</v>
      </c>
      <c r="F480" s="6" t="s">
        <v>743</v>
      </c>
      <c r="G480" s="7" t="str">
        <f aca="false">HYPERLINK(CONCATENATE("http://crfop.gdos.gov.pl/CRFOP/widok/viewpomnikprzyrody.jsf?fop=","PL.ZIPOP.1393.PP.1008072.322"),"(kliknij lub Ctrl+kliknij)")</f>
        <v>(kliknij lub Ctrl+kliknij)</v>
      </c>
      <c r="H480" s="0" t="s">
        <v>733</v>
      </c>
    </row>
    <row r="481" customFormat="false" ht="12.8" hidden="false" customHeight="false" outlineLevel="0" collapsed="false">
      <c r="A481" s="1" t="s">
        <v>569</v>
      </c>
      <c r="C481" s="3" t="s">
        <v>471</v>
      </c>
      <c r="D481" s="4" t="s">
        <v>571</v>
      </c>
      <c r="F481" s="6" t="s">
        <v>743</v>
      </c>
      <c r="G481" s="7" t="str">
        <f aca="false">HYPERLINK(CONCATENATE("http://crfop.gdos.gov.pl/CRFOP/widok/viewpomnikprzyrody.jsf?fop=","PL.ZIPOP.1393.PP.1008072.323"),"(kliknij lub Ctrl+kliknij)")</f>
        <v>(kliknij lub Ctrl+kliknij)</v>
      </c>
      <c r="H481" s="0" t="s">
        <v>733</v>
      </c>
    </row>
    <row r="482" customFormat="false" ht="12.8" hidden="false" customHeight="false" outlineLevel="0" collapsed="false">
      <c r="A482" s="1" t="s">
        <v>569</v>
      </c>
      <c r="C482" s="3" t="s">
        <v>584</v>
      </c>
      <c r="D482" s="4" t="s">
        <v>571</v>
      </c>
      <c r="F482" s="6" t="s">
        <v>585</v>
      </c>
      <c r="G482" s="7" t="str">
        <f aca="false">HYPERLINK(CONCATENATE("http://crfop.gdos.gov.pl/CRFOP/widok/viewpomnikprzyrody.jsf?fop=","PL.ZIPOP.1393.PP.1009013.2392"),"(kliknij lub Ctrl+kliknij)")</f>
        <v>(kliknij lub Ctrl+kliknij)</v>
      </c>
      <c r="H482" s="0" t="s">
        <v>744</v>
      </c>
    </row>
    <row r="483" customFormat="false" ht="12.8" hidden="false" customHeight="false" outlineLevel="0" collapsed="false">
      <c r="A483" s="1" t="s">
        <v>569</v>
      </c>
      <c r="C483" s="3" t="s">
        <v>584</v>
      </c>
      <c r="D483" s="4" t="s">
        <v>571</v>
      </c>
      <c r="F483" s="6" t="s">
        <v>585</v>
      </c>
      <c r="G483" s="7" t="str">
        <f aca="false">HYPERLINK(CONCATENATE("http://crfop.gdos.gov.pl/CRFOP/widok/viewpomnikprzyrody.jsf?fop=","PL.ZIPOP.1393.PP.1009013.2393"),"(kliknij lub Ctrl+kliknij)")</f>
        <v>(kliknij lub Ctrl+kliknij)</v>
      </c>
      <c r="H483" s="0" t="s">
        <v>744</v>
      </c>
    </row>
    <row r="484" customFormat="false" ht="12.8" hidden="false" customHeight="false" outlineLevel="0" collapsed="false">
      <c r="A484" s="1" t="s">
        <v>569</v>
      </c>
      <c r="C484" s="3" t="s">
        <v>584</v>
      </c>
      <c r="D484" s="4" t="s">
        <v>571</v>
      </c>
      <c r="F484" s="6" t="s">
        <v>585</v>
      </c>
      <c r="G484" s="7" t="str">
        <f aca="false">HYPERLINK(CONCATENATE("http://crfop.gdos.gov.pl/CRFOP/widok/viewpomnikprzyrody.jsf?fop=","PL.ZIPOP.1393.PP.1009013.2394"),"(kliknij lub Ctrl+kliknij)")</f>
        <v>(kliknij lub Ctrl+kliknij)</v>
      </c>
      <c r="H484" s="0" t="s">
        <v>744</v>
      </c>
    </row>
    <row r="485" customFormat="false" ht="12.8" hidden="false" customHeight="false" outlineLevel="0" collapsed="false">
      <c r="A485" s="1" t="s">
        <v>569</v>
      </c>
      <c r="C485" s="3" t="s">
        <v>584</v>
      </c>
      <c r="D485" s="4" t="s">
        <v>571</v>
      </c>
      <c r="F485" s="6" t="s">
        <v>585</v>
      </c>
      <c r="G485" s="7" t="str">
        <f aca="false">HYPERLINK(CONCATENATE("http://crfop.gdos.gov.pl/CRFOP/widok/viewpomnikprzyrody.jsf?fop=","PL.ZIPOP.1393.PP.1009013.2395"),"(kliknij lub Ctrl+kliknij)")</f>
        <v>(kliknij lub Ctrl+kliknij)</v>
      </c>
      <c r="H485" s="0" t="s">
        <v>744</v>
      </c>
    </row>
    <row r="486" customFormat="false" ht="12.8" hidden="false" customHeight="false" outlineLevel="0" collapsed="false">
      <c r="A486" s="1" t="s">
        <v>569</v>
      </c>
      <c r="C486" s="3" t="s">
        <v>584</v>
      </c>
      <c r="D486" s="4" t="s">
        <v>571</v>
      </c>
      <c r="F486" s="6" t="s">
        <v>585</v>
      </c>
      <c r="G486" s="7" t="str">
        <f aca="false">HYPERLINK(CONCATENATE("http://crfop.gdos.gov.pl/CRFOP/widok/viewpomnikprzyrody.jsf?fop=","PL.ZIPOP.1393.PP.1009022.2396"),"(kliknij lub Ctrl+kliknij)")</f>
        <v>(kliknij lub Ctrl+kliknij)</v>
      </c>
      <c r="H486" s="0" t="s">
        <v>745</v>
      </c>
    </row>
    <row r="487" customFormat="false" ht="12.8" hidden="false" customHeight="false" outlineLevel="0" collapsed="false">
      <c r="A487" s="1" t="s">
        <v>569</v>
      </c>
      <c r="C487" s="3" t="s">
        <v>584</v>
      </c>
      <c r="D487" s="4" t="s">
        <v>571</v>
      </c>
      <c r="F487" s="6" t="s">
        <v>585</v>
      </c>
      <c r="G487" s="7" t="str">
        <f aca="false">HYPERLINK(CONCATENATE("http://crfop.gdos.gov.pl/CRFOP/widok/viewpomnikprzyrody.jsf?fop=","PL.ZIPOP.1393.PP.1009022.2398"),"(kliknij lub Ctrl+kliknij)")</f>
        <v>(kliknij lub Ctrl+kliknij)</v>
      </c>
      <c r="H487" s="0" t="s">
        <v>745</v>
      </c>
    </row>
    <row r="488" customFormat="false" ht="12.8" hidden="false" customHeight="false" outlineLevel="0" collapsed="false">
      <c r="A488" s="1" t="s">
        <v>569</v>
      </c>
      <c r="C488" s="3" t="s">
        <v>584</v>
      </c>
      <c r="D488" s="4" t="s">
        <v>571</v>
      </c>
      <c r="F488" s="6" t="s">
        <v>585</v>
      </c>
      <c r="G488" s="7" t="str">
        <f aca="false">HYPERLINK(CONCATENATE("http://crfop.gdos.gov.pl/CRFOP/widok/viewpomnikprzyrody.jsf?fop=","PL.ZIPOP.1393.PP.1009022.2399"),"(kliknij lub Ctrl+kliknij)")</f>
        <v>(kliknij lub Ctrl+kliknij)</v>
      </c>
      <c r="H488" s="0" t="s">
        <v>745</v>
      </c>
    </row>
    <row r="489" customFormat="false" ht="12.8" hidden="false" customHeight="false" outlineLevel="0" collapsed="false">
      <c r="A489" s="1" t="s">
        <v>569</v>
      </c>
      <c r="C489" s="3" t="s">
        <v>677</v>
      </c>
      <c r="D489" s="4" t="s">
        <v>571</v>
      </c>
      <c r="F489" s="6" t="s">
        <v>678</v>
      </c>
      <c r="G489" s="7" t="str">
        <f aca="false">HYPERLINK(CONCATENATE("http://crfop.gdos.gov.pl/CRFOP/widok/viewpomnikprzyrody.jsf?fop=","PL.ZIPOP.1393.PP.1009043.2382"),"(kliknij lub Ctrl+kliknij)")</f>
        <v>(kliknij lub Ctrl+kliknij)</v>
      </c>
      <c r="H489" s="0" t="s">
        <v>746</v>
      </c>
    </row>
    <row r="490" customFormat="false" ht="12.8" hidden="false" customHeight="false" outlineLevel="0" collapsed="false">
      <c r="A490" s="1" t="s">
        <v>569</v>
      </c>
      <c r="C490" s="3" t="s">
        <v>677</v>
      </c>
      <c r="D490" s="4" t="s">
        <v>571</v>
      </c>
      <c r="F490" s="6" t="s">
        <v>678</v>
      </c>
      <c r="G490" s="7" t="str">
        <f aca="false">HYPERLINK(CONCATENATE("http://crfop.gdos.gov.pl/CRFOP/widok/viewpomnikprzyrody.jsf?fop=","PL.ZIPOP.1393.PP.1009043.2384"),"(kliknij lub Ctrl+kliknij)")</f>
        <v>(kliknij lub Ctrl+kliknij)</v>
      </c>
      <c r="H490" s="0" t="s">
        <v>746</v>
      </c>
    </row>
    <row r="491" customFormat="false" ht="12.8" hidden="false" customHeight="false" outlineLevel="0" collapsed="false">
      <c r="A491" s="1" t="s">
        <v>569</v>
      </c>
      <c r="C491" s="3" t="s">
        <v>677</v>
      </c>
      <c r="D491" s="4" t="s">
        <v>571</v>
      </c>
      <c r="F491" s="6" t="s">
        <v>678</v>
      </c>
      <c r="G491" s="7" t="str">
        <f aca="false">HYPERLINK(CONCATENATE("http://crfop.gdos.gov.pl/CRFOP/widok/viewpomnikprzyrody.jsf?fop=","PL.ZIPOP.1393.PP.1009043.2386"),"(kliknij lub Ctrl+kliknij)")</f>
        <v>(kliknij lub Ctrl+kliknij)</v>
      </c>
      <c r="H491" s="0" t="s">
        <v>746</v>
      </c>
    </row>
    <row r="492" customFormat="false" ht="12.8" hidden="false" customHeight="false" outlineLevel="0" collapsed="false">
      <c r="A492" s="1" t="s">
        <v>569</v>
      </c>
      <c r="C492" s="3" t="s">
        <v>677</v>
      </c>
      <c r="D492" s="4" t="s">
        <v>571</v>
      </c>
      <c r="F492" s="6" t="s">
        <v>678</v>
      </c>
      <c r="G492" s="7" t="str">
        <f aca="false">HYPERLINK(CONCATENATE("http://crfop.gdos.gov.pl/CRFOP/widok/viewpomnikprzyrody.jsf?fop=","PL.ZIPOP.1393.PP.1009043.2387"),"(kliknij lub Ctrl+kliknij)")</f>
        <v>(kliknij lub Ctrl+kliknij)</v>
      </c>
      <c r="H492" s="0" t="s">
        <v>746</v>
      </c>
    </row>
    <row r="493" customFormat="false" ht="12.8" hidden="false" customHeight="false" outlineLevel="0" collapsed="false">
      <c r="A493" s="1" t="s">
        <v>569</v>
      </c>
      <c r="C493" s="3" t="s">
        <v>677</v>
      </c>
      <c r="D493" s="4" t="s">
        <v>571</v>
      </c>
      <c r="F493" s="6" t="s">
        <v>678</v>
      </c>
      <c r="G493" s="7" t="str">
        <f aca="false">HYPERLINK(CONCATENATE("http://crfop.gdos.gov.pl/CRFOP/widok/viewpomnikprzyrody.jsf?fop=","PL.ZIPOP.1393.PP.1009043.2388"),"(kliknij lub Ctrl+kliknij)")</f>
        <v>(kliknij lub Ctrl+kliknij)</v>
      </c>
      <c r="H493" s="0" t="s">
        <v>746</v>
      </c>
    </row>
    <row r="494" customFormat="false" ht="12.8" hidden="false" customHeight="false" outlineLevel="0" collapsed="false">
      <c r="A494" s="1" t="s">
        <v>569</v>
      </c>
      <c r="C494" s="3" t="s">
        <v>677</v>
      </c>
      <c r="D494" s="4" t="s">
        <v>571</v>
      </c>
      <c r="F494" s="6" t="s">
        <v>678</v>
      </c>
      <c r="G494" s="7" t="str">
        <f aca="false">HYPERLINK(CONCATENATE("http://crfop.gdos.gov.pl/CRFOP/widok/viewpomnikprzyrody.jsf?fop=","PL.ZIPOP.1393.PP.1009043.2389"),"(kliknij lub Ctrl+kliknij)")</f>
        <v>(kliknij lub Ctrl+kliknij)</v>
      </c>
      <c r="H494" s="0" t="s">
        <v>746</v>
      </c>
    </row>
    <row r="495" customFormat="false" ht="12.8" hidden="false" customHeight="false" outlineLevel="0" collapsed="false">
      <c r="A495" s="1" t="s">
        <v>569</v>
      </c>
      <c r="C495" s="3" t="s">
        <v>677</v>
      </c>
      <c r="D495" s="4" t="s">
        <v>571</v>
      </c>
      <c r="F495" s="6" t="s">
        <v>678</v>
      </c>
      <c r="G495" s="7" t="str">
        <f aca="false">HYPERLINK(CONCATENATE("http://crfop.gdos.gov.pl/CRFOP/widok/viewpomnikprzyrody.jsf?fop=","PL.ZIPOP.1393.PP.1009043.2390"),"(kliknij lub Ctrl+kliknij)")</f>
        <v>(kliknij lub Ctrl+kliknij)</v>
      </c>
      <c r="H495" s="0" t="s">
        <v>746</v>
      </c>
    </row>
    <row r="496" customFormat="false" ht="12.8" hidden="false" customHeight="false" outlineLevel="0" collapsed="false">
      <c r="A496" s="1" t="s">
        <v>569</v>
      </c>
      <c r="C496" s="3" t="s">
        <v>723</v>
      </c>
      <c r="D496" s="4" t="s">
        <v>571</v>
      </c>
      <c r="F496" s="6" t="s">
        <v>724</v>
      </c>
      <c r="G496" s="7" t="str">
        <f aca="false">HYPERLINK(CONCATENATE("http://crfop.gdos.gov.pl/CRFOP/widok/viewpomnikprzyrody.jsf?fop=","PL.ZIPOP.1393.PP.1009043.2391"),"(kliknij lub Ctrl+kliknij)")</f>
        <v>(kliknij lub Ctrl+kliknij)</v>
      </c>
      <c r="H496" s="0" t="s">
        <v>746</v>
      </c>
    </row>
    <row r="497" customFormat="false" ht="12.8" hidden="false" customHeight="false" outlineLevel="0" collapsed="false">
      <c r="A497" s="1" t="s">
        <v>569</v>
      </c>
      <c r="C497" s="3" t="s">
        <v>574</v>
      </c>
      <c r="D497" s="4" t="s">
        <v>571</v>
      </c>
      <c r="F497" s="6" t="s">
        <v>575</v>
      </c>
      <c r="G497" s="7" t="str">
        <f aca="false">HYPERLINK(CONCATENATE("http://crfop.gdos.gov.pl/CRFOP/widok/viewpomnikprzyrody.jsf?fop=","PL.ZIPOP.1393.PP.1009052.2412"),"(kliknij lub Ctrl+kliknij)")</f>
        <v>(kliknij lub Ctrl+kliknij)</v>
      </c>
      <c r="H497" s="0" t="s">
        <v>747</v>
      </c>
    </row>
    <row r="498" customFormat="false" ht="12.8" hidden="false" customHeight="false" outlineLevel="0" collapsed="false">
      <c r="A498" s="1" t="s">
        <v>569</v>
      </c>
      <c r="C498" s="3" t="s">
        <v>570</v>
      </c>
      <c r="D498" s="4" t="s">
        <v>571</v>
      </c>
      <c r="F498" s="6" t="s">
        <v>748</v>
      </c>
      <c r="G498" s="7" t="str">
        <f aca="false">HYPERLINK(CONCATENATE("http://crfop.gdos.gov.pl/CRFOP/widok/viewpomnikprzyrody.jsf?fop=","PL.ZIPOP.1393.PP.1009052.2413"),"(kliknij lub Ctrl+kliknij)")</f>
        <v>(kliknij lub Ctrl+kliknij)</v>
      </c>
      <c r="H498" s="0" t="s">
        <v>747</v>
      </c>
    </row>
    <row r="499" customFormat="false" ht="12.8" hidden="false" customHeight="false" outlineLevel="0" collapsed="false">
      <c r="A499" s="1" t="s">
        <v>569</v>
      </c>
      <c r="C499" s="3" t="s">
        <v>749</v>
      </c>
      <c r="D499" s="4" t="s">
        <v>571</v>
      </c>
      <c r="F499" s="6" t="s">
        <v>750</v>
      </c>
      <c r="G499" s="7" t="str">
        <f aca="false">HYPERLINK(CONCATENATE("http://crfop.gdos.gov.pl/CRFOP/widok/viewpomnikprzyrody.jsf?fop=","PL.ZIPOP.1393.PP.1009052.2414"),"(kliknij lub Ctrl+kliknij)")</f>
        <v>(kliknij lub Ctrl+kliknij)</v>
      </c>
      <c r="H499" s="0" t="s">
        <v>747</v>
      </c>
    </row>
    <row r="500" customFormat="false" ht="12.8" hidden="false" customHeight="false" outlineLevel="0" collapsed="false">
      <c r="A500" s="1" t="s">
        <v>569</v>
      </c>
      <c r="C500" s="3" t="s">
        <v>749</v>
      </c>
      <c r="D500" s="4" t="s">
        <v>571</v>
      </c>
      <c r="F500" s="6" t="s">
        <v>750</v>
      </c>
      <c r="G500" s="7" t="str">
        <f aca="false">HYPERLINK(CONCATENATE("http://crfop.gdos.gov.pl/CRFOP/widok/viewpomnikprzyrody.jsf?fop=","PL.ZIPOP.1393.PP.1009052.2415"),"(kliknij lub Ctrl+kliknij)")</f>
        <v>(kliknij lub Ctrl+kliknij)</v>
      </c>
      <c r="H500" s="0" t="s">
        <v>747</v>
      </c>
    </row>
    <row r="501" customFormat="false" ht="12.8" hidden="false" customHeight="false" outlineLevel="0" collapsed="false">
      <c r="A501" s="1" t="s">
        <v>569</v>
      </c>
      <c r="C501" s="3" t="s">
        <v>749</v>
      </c>
      <c r="D501" s="4" t="s">
        <v>571</v>
      </c>
      <c r="F501" s="6" t="s">
        <v>750</v>
      </c>
      <c r="G501" s="7" t="str">
        <f aca="false">HYPERLINK(CONCATENATE("http://crfop.gdos.gov.pl/CRFOP/widok/viewpomnikprzyrody.jsf?fop=","PL.ZIPOP.1393.PP.1009052.2416"),"(kliknij lub Ctrl+kliknij)")</f>
        <v>(kliknij lub Ctrl+kliknij)</v>
      </c>
      <c r="H501" s="0" t="s">
        <v>747</v>
      </c>
    </row>
    <row r="502" customFormat="false" ht="12.8" hidden="false" customHeight="false" outlineLevel="0" collapsed="false">
      <c r="A502" s="1" t="s">
        <v>569</v>
      </c>
      <c r="C502" s="3" t="s">
        <v>749</v>
      </c>
      <c r="D502" s="4" t="s">
        <v>571</v>
      </c>
      <c r="F502" s="6" t="s">
        <v>750</v>
      </c>
      <c r="G502" s="7" t="str">
        <f aca="false">HYPERLINK(CONCATENATE("http://crfop.gdos.gov.pl/CRFOP/widok/viewpomnikprzyrody.jsf?fop=","PL.ZIPOP.1393.PP.1009052.2417"),"(kliknij lub Ctrl+kliknij)")</f>
        <v>(kliknij lub Ctrl+kliknij)</v>
      </c>
      <c r="H502" s="0" t="s">
        <v>747</v>
      </c>
    </row>
    <row r="503" customFormat="false" ht="12.8" hidden="false" customHeight="false" outlineLevel="0" collapsed="false">
      <c r="A503" s="1" t="s">
        <v>569</v>
      </c>
      <c r="C503" s="3" t="s">
        <v>751</v>
      </c>
      <c r="D503" s="4" t="s">
        <v>571</v>
      </c>
      <c r="F503" s="6" t="s">
        <v>752</v>
      </c>
      <c r="G503" s="7" t="str">
        <f aca="false">HYPERLINK(CONCATENATE("http://crfop.gdos.gov.pl/CRFOP/widok/viewpomnikprzyrody.jsf?fop=","PL.ZIPOP.1393.PP.1009052.2418"),"(kliknij lub Ctrl+kliknij)")</f>
        <v>(kliknij lub Ctrl+kliknij)</v>
      </c>
      <c r="H503" s="0" t="s">
        <v>747</v>
      </c>
    </row>
    <row r="504" customFormat="false" ht="12.8" hidden="false" customHeight="false" outlineLevel="0" collapsed="false">
      <c r="A504" s="1" t="s">
        <v>569</v>
      </c>
      <c r="C504" s="3" t="s">
        <v>753</v>
      </c>
      <c r="D504" s="4" t="s">
        <v>571</v>
      </c>
      <c r="F504" s="6" t="s">
        <v>754</v>
      </c>
      <c r="G504" s="7" t="str">
        <f aca="false">HYPERLINK(CONCATENATE("http://crfop.gdos.gov.pl/CRFOP/widok/viewpomnikprzyrody.jsf?fop=","PL.ZIPOP.1393.PP.1009052.2419"),"(kliknij lub Ctrl+kliknij)")</f>
        <v>(kliknij lub Ctrl+kliknij)</v>
      </c>
      <c r="H504" s="0" t="s">
        <v>747</v>
      </c>
    </row>
    <row r="505" customFormat="false" ht="12.8" hidden="false" customHeight="false" outlineLevel="0" collapsed="false">
      <c r="A505" s="1" t="s">
        <v>569</v>
      </c>
      <c r="C505" s="3" t="s">
        <v>584</v>
      </c>
      <c r="D505" s="4" t="s">
        <v>571</v>
      </c>
      <c r="F505" s="6" t="s">
        <v>585</v>
      </c>
      <c r="G505" s="7" t="str">
        <f aca="false">HYPERLINK(CONCATENATE("http://crfop.gdos.gov.pl/CRFOP/widok/viewpomnikprzyrody.jsf?fop=","PL.ZIPOP.1393.PP.1009062.2403"),"(kliknij lub Ctrl+kliknij)")</f>
        <v>(kliknij lub Ctrl+kliknij)</v>
      </c>
      <c r="H505" s="0" t="s">
        <v>755</v>
      </c>
    </row>
    <row r="506" customFormat="false" ht="12.8" hidden="false" customHeight="false" outlineLevel="0" collapsed="false">
      <c r="A506" s="1" t="s">
        <v>569</v>
      </c>
      <c r="C506" s="3" t="s">
        <v>584</v>
      </c>
      <c r="D506" s="4" t="s">
        <v>571</v>
      </c>
      <c r="F506" s="6" t="s">
        <v>585</v>
      </c>
      <c r="G506" s="7" t="str">
        <f aca="false">HYPERLINK(CONCATENATE("http://crfop.gdos.gov.pl/CRFOP/widok/viewpomnikprzyrody.jsf?fop=","PL.ZIPOP.1393.PP.1009062.2404"),"(kliknij lub Ctrl+kliknij)")</f>
        <v>(kliknij lub Ctrl+kliknij)</v>
      </c>
      <c r="H506" s="0" t="s">
        <v>755</v>
      </c>
    </row>
    <row r="507" customFormat="false" ht="12.8" hidden="false" customHeight="false" outlineLevel="0" collapsed="false">
      <c r="A507" s="1" t="s">
        <v>569</v>
      </c>
      <c r="C507" s="3" t="s">
        <v>584</v>
      </c>
      <c r="D507" s="4" t="s">
        <v>571</v>
      </c>
      <c r="F507" s="6" t="s">
        <v>585</v>
      </c>
      <c r="G507" s="7" t="str">
        <f aca="false">HYPERLINK(CONCATENATE("http://crfop.gdos.gov.pl/CRFOP/widok/viewpomnikprzyrody.jsf?fop=","PL.ZIPOP.1393.PP.1009062.2405"),"(kliknij lub Ctrl+kliknij)")</f>
        <v>(kliknij lub Ctrl+kliknij)</v>
      </c>
      <c r="H507" s="0" t="s">
        <v>755</v>
      </c>
    </row>
    <row r="508" customFormat="false" ht="12.8" hidden="false" customHeight="false" outlineLevel="0" collapsed="false">
      <c r="A508" s="1" t="s">
        <v>569</v>
      </c>
      <c r="C508" s="3" t="s">
        <v>584</v>
      </c>
      <c r="D508" s="4" t="s">
        <v>571</v>
      </c>
      <c r="F508" s="6" t="s">
        <v>585</v>
      </c>
      <c r="G508" s="7" t="str">
        <f aca="false">HYPERLINK(CONCATENATE("http://crfop.gdos.gov.pl/CRFOP/widok/viewpomnikprzyrody.jsf?fop=","PL.ZIPOP.1393.PP.1009062.2406"),"(kliknij lub Ctrl+kliknij)")</f>
        <v>(kliknij lub Ctrl+kliknij)</v>
      </c>
      <c r="H508" s="0" t="s">
        <v>755</v>
      </c>
    </row>
    <row r="509" customFormat="false" ht="12.8" hidden="false" customHeight="false" outlineLevel="0" collapsed="false">
      <c r="A509" s="1" t="s">
        <v>569</v>
      </c>
      <c r="C509" s="3" t="s">
        <v>584</v>
      </c>
      <c r="D509" s="4" t="s">
        <v>571</v>
      </c>
      <c r="F509" s="6" t="s">
        <v>585</v>
      </c>
      <c r="G509" s="7" t="str">
        <f aca="false">HYPERLINK(CONCATENATE("http://crfop.gdos.gov.pl/CRFOP/widok/viewpomnikprzyrody.jsf?fop=","PL.ZIPOP.1393.PP.1009062.2407"),"(kliknij lub Ctrl+kliknij)")</f>
        <v>(kliknij lub Ctrl+kliknij)</v>
      </c>
      <c r="H509" s="0" t="s">
        <v>755</v>
      </c>
    </row>
    <row r="510" customFormat="false" ht="12.8" hidden="false" customHeight="false" outlineLevel="0" collapsed="false">
      <c r="A510" s="1" t="s">
        <v>569</v>
      </c>
      <c r="C510" s="3" t="s">
        <v>584</v>
      </c>
      <c r="D510" s="4" t="s">
        <v>571</v>
      </c>
      <c r="F510" s="6" t="s">
        <v>585</v>
      </c>
      <c r="G510" s="7" t="str">
        <f aca="false">HYPERLINK(CONCATENATE("http://crfop.gdos.gov.pl/CRFOP/widok/viewpomnikprzyrody.jsf?fop=","PL.ZIPOP.1393.PP.1009062.2408"),"(kliknij lub Ctrl+kliknij)")</f>
        <v>(kliknij lub Ctrl+kliknij)</v>
      </c>
      <c r="H510" s="0" t="s">
        <v>755</v>
      </c>
    </row>
    <row r="511" customFormat="false" ht="12.8" hidden="false" customHeight="false" outlineLevel="0" collapsed="false">
      <c r="A511" s="1" t="s">
        <v>569</v>
      </c>
      <c r="C511" s="3" t="s">
        <v>584</v>
      </c>
      <c r="D511" s="4" t="s">
        <v>571</v>
      </c>
      <c r="F511" s="6" t="s">
        <v>585</v>
      </c>
      <c r="G511" s="7" t="str">
        <f aca="false">HYPERLINK(CONCATENATE("http://crfop.gdos.gov.pl/CRFOP/widok/viewpomnikprzyrody.jsf?fop=","PL.ZIPOP.1393.PP.1009062.2409"),"(kliknij lub Ctrl+kliknij)")</f>
        <v>(kliknij lub Ctrl+kliknij)</v>
      </c>
      <c r="H511" s="0" t="s">
        <v>755</v>
      </c>
    </row>
    <row r="512" customFormat="false" ht="12.8" hidden="false" customHeight="false" outlineLevel="0" collapsed="false">
      <c r="A512" s="1" t="s">
        <v>569</v>
      </c>
      <c r="C512" s="3" t="s">
        <v>756</v>
      </c>
      <c r="D512" s="4" t="s">
        <v>571</v>
      </c>
      <c r="F512" s="6" t="s">
        <v>572</v>
      </c>
      <c r="G512" s="7" t="str">
        <f aca="false">HYPERLINK(CONCATENATE("http://crfop.gdos.gov.pl/CRFOP/widok/viewpomnikprzyrody.jsf?fop=","PL.ZIPOP.1393.PP.1010012.1405"),"(kliknij lub Ctrl+kliknij)")</f>
        <v>(kliknij lub Ctrl+kliknij)</v>
      </c>
      <c r="H512" s="0" t="s">
        <v>757</v>
      </c>
    </row>
    <row r="513" customFormat="false" ht="12.8" hidden="false" customHeight="false" outlineLevel="0" collapsed="false">
      <c r="A513" s="1" t="s">
        <v>569</v>
      </c>
      <c r="C513" s="3" t="s">
        <v>587</v>
      </c>
      <c r="D513" s="4" t="s">
        <v>571</v>
      </c>
      <c r="F513" s="6" t="s">
        <v>575</v>
      </c>
      <c r="G513" s="7" t="str">
        <f aca="false">HYPERLINK(CONCATENATE("http://crfop.gdos.gov.pl/CRFOP/widok/viewpomnikprzyrody.jsf?fop=","PL.ZIPOP.1393.PP.1010012.1406"),"(kliknij lub Ctrl+kliknij)")</f>
        <v>(kliknij lub Ctrl+kliknij)</v>
      </c>
      <c r="H513" s="0" t="s">
        <v>757</v>
      </c>
    </row>
    <row r="514" customFormat="false" ht="12.8" hidden="false" customHeight="false" outlineLevel="0" collapsed="false">
      <c r="A514" s="1" t="s">
        <v>569</v>
      </c>
      <c r="C514" s="3" t="s">
        <v>587</v>
      </c>
      <c r="D514" s="4" t="s">
        <v>571</v>
      </c>
      <c r="F514" s="6" t="s">
        <v>575</v>
      </c>
      <c r="G514" s="7" t="str">
        <f aca="false">HYPERLINK(CONCATENATE("http://crfop.gdos.gov.pl/CRFOP/widok/viewpomnikprzyrody.jsf?fop=","PL.ZIPOP.1393.PP.1010012.1407"),"(kliknij lub Ctrl+kliknij)")</f>
        <v>(kliknij lub Ctrl+kliknij)</v>
      </c>
      <c r="H514" s="0" t="s">
        <v>757</v>
      </c>
    </row>
    <row r="515" customFormat="false" ht="12.8" hidden="false" customHeight="false" outlineLevel="0" collapsed="false">
      <c r="A515" s="1" t="s">
        <v>569</v>
      </c>
      <c r="C515" s="3" t="s">
        <v>587</v>
      </c>
      <c r="D515" s="4" t="s">
        <v>571</v>
      </c>
      <c r="F515" s="6" t="s">
        <v>575</v>
      </c>
      <c r="G515" s="7" t="str">
        <f aca="false">HYPERLINK(CONCATENATE("http://crfop.gdos.gov.pl/CRFOP/widok/viewpomnikprzyrody.jsf?fop=","PL.ZIPOP.1393.PP.1010012.1408"),"(kliknij lub Ctrl+kliknij)")</f>
        <v>(kliknij lub Ctrl+kliknij)</v>
      </c>
      <c r="H515" s="0" t="s">
        <v>757</v>
      </c>
    </row>
    <row r="516" customFormat="false" ht="12.8" hidden="false" customHeight="false" outlineLevel="0" collapsed="false">
      <c r="A516" s="1" t="s">
        <v>569</v>
      </c>
      <c r="C516" s="3" t="s">
        <v>587</v>
      </c>
      <c r="D516" s="4" t="s">
        <v>571</v>
      </c>
      <c r="F516" s="6" t="s">
        <v>575</v>
      </c>
      <c r="G516" s="7" t="str">
        <f aca="false">HYPERLINK(CONCATENATE("http://crfop.gdos.gov.pl/CRFOP/widok/viewpomnikprzyrody.jsf?fop=","PL.ZIPOP.1393.PP.1010012.1409"),"(kliknij lub Ctrl+kliknij)")</f>
        <v>(kliknij lub Ctrl+kliknij)</v>
      </c>
      <c r="H516" s="0" t="s">
        <v>757</v>
      </c>
    </row>
    <row r="517" customFormat="false" ht="12.8" hidden="false" customHeight="false" outlineLevel="0" collapsed="false">
      <c r="A517" s="1" t="s">
        <v>569</v>
      </c>
      <c r="C517" s="3" t="s">
        <v>756</v>
      </c>
      <c r="D517" s="4" t="s">
        <v>571</v>
      </c>
      <c r="F517" s="6" t="s">
        <v>572</v>
      </c>
      <c r="G517" s="7" t="str">
        <f aca="false">HYPERLINK(CONCATENATE("http://crfop.gdos.gov.pl/CRFOP/widok/viewpomnikprzyrody.jsf?fop=","PL.ZIPOP.1393.PP.1010012.1411"),"(kliknij lub Ctrl+kliknij)")</f>
        <v>(kliknij lub Ctrl+kliknij)</v>
      </c>
      <c r="H517" s="0" t="s">
        <v>757</v>
      </c>
    </row>
    <row r="518" customFormat="false" ht="12.8" hidden="false" customHeight="false" outlineLevel="0" collapsed="false">
      <c r="A518" s="1" t="s">
        <v>569</v>
      </c>
      <c r="C518" s="3" t="s">
        <v>756</v>
      </c>
      <c r="D518" s="4" t="s">
        <v>571</v>
      </c>
      <c r="F518" s="6" t="s">
        <v>572</v>
      </c>
      <c r="G518" s="7" t="str">
        <f aca="false">HYPERLINK(CONCATENATE("http://crfop.gdos.gov.pl/CRFOP/widok/viewpomnikprzyrody.jsf?fop=","PL.ZIPOP.1393.PP.1010012.1412"),"(kliknij lub Ctrl+kliknij)")</f>
        <v>(kliknij lub Ctrl+kliknij)</v>
      </c>
      <c r="H518" s="0" t="s">
        <v>757</v>
      </c>
    </row>
    <row r="519" customFormat="false" ht="12.8" hidden="false" customHeight="false" outlineLevel="0" collapsed="false">
      <c r="A519" s="1" t="s">
        <v>569</v>
      </c>
      <c r="C519" s="3" t="s">
        <v>756</v>
      </c>
      <c r="D519" s="4" t="s">
        <v>571</v>
      </c>
      <c r="F519" s="6" t="s">
        <v>572</v>
      </c>
      <c r="G519" s="7" t="str">
        <f aca="false">HYPERLINK(CONCATENATE("http://crfop.gdos.gov.pl/CRFOP/widok/viewpomnikprzyrody.jsf?fop=","PL.ZIPOP.1393.PP.1010012.1413"),"(kliknij lub Ctrl+kliknij)")</f>
        <v>(kliknij lub Ctrl+kliknij)</v>
      </c>
      <c r="H519" s="0" t="s">
        <v>757</v>
      </c>
    </row>
    <row r="520" customFormat="false" ht="12.8" hidden="false" customHeight="false" outlineLevel="0" collapsed="false">
      <c r="A520" s="1" t="s">
        <v>569</v>
      </c>
      <c r="C520" s="3" t="s">
        <v>756</v>
      </c>
      <c r="D520" s="4" t="s">
        <v>571</v>
      </c>
      <c r="F520" s="6" t="s">
        <v>572</v>
      </c>
      <c r="G520" s="7" t="str">
        <f aca="false">HYPERLINK(CONCATENATE("http://crfop.gdos.gov.pl/CRFOP/widok/viewpomnikprzyrody.jsf?fop=","PL.ZIPOP.1393.PP.1010012.1414"),"(kliknij lub Ctrl+kliknij)")</f>
        <v>(kliknij lub Ctrl+kliknij)</v>
      </c>
      <c r="H520" s="0" t="s">
        <v>757</v>
      </c>
    </row>
    <row r="521" customFormat="false" ht="12.8" hidden="false" customHeight="false" outlineLevel="0" collapsed="false">
      <c r="A521" s="1" t="s">
        <v>569</v>
      </c>
      <c r="C521" s="3" t="s">
        <v>756</v>
      </c>
      <c r="D521" s="4" t="s">
        <v>571</v>
      </c>
      <c r="F521" s="6" t="s">
        <v>572</v>
      </c>
      <c r="G521" s="7" t="str">
        <f aca="false">HYPERLINK(CONCATENATE("http://crfop.gdos.gov.pl/CRFOP/widok/viewpomnikprzyrody.jsf?fop=","PL.ZIPOP.1393.PP.1010012.1416"),"(kliknij lub Ctrl+kliknij)")</f>
        <v>(kliknij lub Ctrl+kliknij)</v>
      </c>
      <c r="H521" s="0" t="s">
        <v>757</v>
      </c>
    </row>
    <row r="522" customFormat="false" ht="12.8" hidden="false" customHeight="false" outlineLevel="0" collapsed="false">
      <c r="A522" s="1" t="s">
        <v>569</v>
      </c>
      <c r="C522" s="3" t="s">
        <v>756</v>
      </c>
      <c r="D522" s="4" t="s">
        <v>571</v>
      </c>
      <c r="F522" s="6" t="s">
        <v>572</v>
      </c>
      <c r="G522" s="7" t="str">
        <f aca="false">HYPERLINK(CONCATENATE("http://crfop.gdos.gov.pl/CRFOP/widok/viewpomnikprzyrody.jsf?fop=","PL.ZIPOP.1393.PP.1010012.1417"),"(kliknij lub Ctrl+kliknij)")</f>
        <v>(kliknij lub Ctrl+kliknij)</v>
      </c>
      <c r="H522" s="0" t="s">
        <v>757</v>
      </c>
    </row>
    <row r="523" customFormat="false" ht="12.8" hidden="false" customHeight="false" outlineLevel="0" collapsed="false">
      <c r="A523" s="1" t="s">
        <v>569</v>
      </c>
      <c r="C523" s="3" t="s">
        <v>756</v>
      </c>
      <c r="D523" s="4" t="s">
        <v>571</v>
      </c>
      <c r="F523" s="6" t="s">
        <v>572</v>
      </c>
      <c r="G523" s="7" t="str">
        <f aca="false">HYPERLINK(CONCATENATE("http://crfop.gdos.gov.pl/CRFOP/widok/viewpomnikprzyrody.jsf?fop=","PL.ZIPOP.1393.PP.1010012.1418"),"(kliknij lub Ctrl+kliknij)")</f>
        <v>(kliknij lub Ctrl+kliknij)</v>
      </c>
      <c r="H523" s="0" t="s">
        <v>757</v>
      </c>
    </row>
    <row r="524" customFormat="false" ht="12.8" hidden="false" customHeight="false" outlineLevel="0" collapsed="false">
      <c r="A524" s="1" t="s">
        <v>569</v>
      </c>
      <c r="C524" s="3" t="s">
        <v>756</v>
      </c>
      <c r="D524" s="4" t="s">
        <v>571</v>
      </c>
      <c r="F524" s="6" t="s">
        <v>572</v>
      </c>
      <c r="G524" s="7" t="str">
        <f aca="false">HYPERLINK(CONCATENATE("http://crfop.gdos.gov.pl/CRFOP/widok/viewpomnikprzyrody.jsf?fop=","PL.ZIPOP.1393.PP.1010012.1419"),"(kliknij lub Ctrl+kliknij)")</f>
        <v>(kliknij lub Ctrl+kliknij)</v>
      </c>
      <c r="H524" s="0" t="s">
        <v>757</v>
      </c>
    </row>
    <row r="525" customFormat="false" ht="12.8" hidden="false" customHeight="false" outlineLevel="0" collapsed="false">
      <c r="A525" s="1" t="s">
        <v>569</v>
      </c>
      <c r="C525" s="3" t="s">
        <v>756</v>
      </c>
      <c r="D525" s="4" t="s">
        <v>571</v>
      </c>
      <c r="F525" s="6" t="s">
        <v>572</v>
      </c>
      <c r="G525" s="7" t="str">
        <f aca="false">HYPERLINK(CONCATENATE("http://crfop.gdos.gov.pl/CRFOP/widok/viewpomnikprzyrody.jsf?fop=","PL.ZIPOP.1393.PP.1010012.1420"),"(kliknij lub Ctrl+kliknij)")</f>
        <v>(kliknij lub Ctrl+kliknij)</v>
      </c>
      <c r="H525" s="0" t="s">
        <v>757</v>
      </c>
    </row>
    <row r="526" customFormat="false" ht="12.8" hidden="false" customHeight="false" outlineLevel="0" collapsed="false">
      <c r="A526" s="1" t="s">
        <v>569</v>
      </c>
      <c r="C526" s="3" t="s">
        <v>756</v>
      </c>
      <c r="D526" s="4" t="s">
        <v>571</v>
      </c>
      <c r="F526" s="6" t="s">
        <v>572</v>
      </c>
      <c r="G526" s="7" t="str">
        <f aca="false">HYPERLINK(CONCATENATE("http://crfop.gdos.gov.pl/CRFOP/widok/viewpomnikprzyrody.jsf?fop=","PL.ZIPOP.1393.PP.1010012.1421"),"(kliknij lub Ctrl+kliknij)")</f>
        <v>(kliknij lub Ctrl+kliknij)</v>
      </c>
      <c r="H526" s="0" t="s">
        <v>757</v>
      </c>
    </row>
    <row r="527" customFormat="false" ht="12.8" hidden="false" customHeight="false" outlineLevel="0" collapsed="false">
      <c r="A527" s="1" t="s">
        <v>569</v>
      </c>
      <c r="C527" s="3" t="s">
        <v>756</v>
      </c>
      <c r="D527" s="4" t="s">
        <v>571</v>
      </c>
      <c r="F527" s="6" t="s">
        <v>572</v>
      </c>
      <c r="G527" s="7" t="str">
        <f aca="false">HYPERLINK(CONCATENATE("http://crfop.gdos.gov.pl/CRFOP/widok/viewpomnikprzyrody.jsf?fop=","PL.ZIPOP.1393.PP.1010012.1422"),"(kliknij lub Ctrl+kliknij)")</f>
        <v>(kliknij lub Ctrl+kliknij)</v>
      </c>
      <c r="H527" s="0" t="s">
        <v>757</v>
      </c>
    </row>
    <row r="528" customFormat="false" ht="12.8" hidden="false" customHeight="false" outlineLevel="0" collapsed="false">
      <c r="A528" s="1" t="s">
        <v>569</v>
      </c>
      <c r="C528" s="3" t="s">
        <v>756</v>
      </c>
      <c r="D528" s="4" t="s">
        <v>571</v>
      </c>
      <c r="F528" s="6" t="s">
        <v>572</v>
      </c>
      <c r="G528" s="7" t="str">
        <f aca="false">HYPERLINK(CONCATENATE("http://crfop.gdos.gov.pl/CRFOP/widok/viewpomnikprzyrody.jsf?fop=","PL.ZIPOP.1393.PP.1010022.1423"),"(kliknij lub Ctrl+kliknij)")</f>
        <v>(kliknij lub Ctrl+kliknij)</v>
      </c>
      <c r="H528" s="0" t="s">
        <v>758</v>
      </c>
    </row>
    <row r="529" customFormat="false" ht="12.8" hidden="false" customHeight="false" outlineLevel="0" collapsed="false">
      <c r="A529" s="1" t="s">
        <v>569</v>
      </c>
      <c r="C529" s="3" t="s">
        <v>756</v>
      </c>
      <c r="D529" s="4" t="s">
        <v>571</v>
      </c>
      <c r="F529" s="6" t="s">
        <v>572</v>
      </c>
      <c r="G529" s="7" t="str">
        <f aca="false">HYPERLINK(CONCATENATE("http://crfop.gdos.gov.pl/CRFOP/widok/viewpomnikprzyrody.jsf?fop=","PL.ZIPOP.1393.PP.1010022.1424"),"(kliknij lub Ctrl+kliknij)")</f>
        <v>(kliknij lub Ctrl+kliknij)</v>
      </c>
      <c r="H529" s="0" t="s">
        <v>758</v>
      </c>
    </row>
    <row r="530" customFormat="false" ht="12.8" hidden="false" customHeight="false" outlineLevel="0" collapsed="false">
      <c r="A530" s="1" t="s">
        <v>569</v>
      </c>
      <c r="C530" s="3" t="s">
        <v>756</v>
      </c>
      <c r="D530" s="4" t="s">
        <v>571</v>
      </c>
      <c r="F530" s="6" t="s">
        <v>572</v>
      </c>
      <c r="G530" s="7" t="str">
        <f aca="false">HYPERLINK(CONCATENATE("http://crfop.gdos.gov.pl/CRFOP/widok/viewpomnikprzyrody.jsf?fop=","PL.ZIPOP.1393.PP.1010032.1425"),"(kliknij lub Ctrl+kliknij)")</f>
        <v>(kliknij lub Ctrl+kliknij)</v>
      </c>
      <c r="H530" s="0" t="s">
        <v>759</v>
      </c>
    </row>
    <row r="531" customFormat="false" ht="12.8" hidden="false" customHeight="false" outlineLevel="0" collapsed="false">
      <c r="A531" s="1" t="s">
        <v>569</v>
      </c>
      <c r="C531" s="3" t="s">
        <v>756</v>
      </c>
      <c r="D531" s="4" t="s">
        <v>571</v>
      </c>
      <c r="F531" s="6" t="s">
        <v>572</v>
      </c>
      <c r="G531" s="7" t="str">
        <f aca="false">HYPERLINK(CONCATENATE("http://crfop.gdos.gov.pl/CRFOP/widok/viewpomnikprzyrody.jsf?fop=","PL.ZIPOP.1393.PP.1010032.1426"),"(kliknij lub Ctrl+kliknij)")</f>
        <v>(kliknij lub Ctrl+kliknij)</v>
      </c>
      <c r="H531" s="0" t="s">
        <v>759</v>
      </c>
    </row>
    <row r="532" customFormat="false" ht="12.8" hidden="false" customHeight="false" outlineLevel="0" collapsed="false">
      <c r="A532" s="1" t="s">
        <v>569</v>
      </c>
      <c r="C532" s="3" t="s">
        <v>756</v>
      </c>
      <c r="D532" s="4" t="s">
        <v>571</v>
      </c>
      <c r="F532" s="6" t="s">
        <v>572</v>
      </c>
      <c r="G532" s="7" t="str">
        <f aca="false">HYPERLINK(CONCATENATE("http://crfop.gdos.gov.pl/CRFOP/widok/viewpomnikprzyrody.jsf?fop=","PL.ZIPOP.1393.PP.1010032.1427"),"(kliknij lub Ctrl+kliknij)")</f>
        <v>(kliknij lub Ctrl+kliknij)</v>
      </c>
      <c r="H532" s="0" t="s">
        <v>759</v>
      </c>
    </row>
    <row r="533" customFormat="false" ht="12.8" hidden="false" customHeight="false" outlineLevel="0" collapsed="false">
      <c r="A533" s="1" t="s">
        <v>569</v>
      </c>
      <c r="C533" s="3" t="s">
        <v>756</v>
      </c>
      <c r="D533" s="4" t="s">
        <v>571</v>
      </c>
      <c r="F533" s="6" t="s">
        <v>572</v>
      </c>
      <c r="G533" s="7" t="str">
        <f aca="false">HYPERLINK(CONCATENATE("http://crfop.gdos.gov.pl/CRFOP/widok/viewpomnikprzyrody.jsf?fop=","PL.ZIPOP.1393.PP.1010032.1428"),"(kliknij lub Ctrl+kliknij)")</f>
        <v>(kliknij lub Ctrl+kliknij)</v>
      </c>
      <c r="H533" s="0" t="s">
        <v>759</v>
      </c>
    </row>
    <row r="534" customFormat="false" ht="12.8" hidden="false" customHeight="false" outlineLevel="0" collapsed="false">
      <c r="A534" s="1" t="s">
        <v>569</v>
      </c>
      <c r="C534" s="3" t="s">
        <v>756</v>
      </c>
      <c r="D534" s="4" t="s">
        <v>571</v>
      </c>
      <c r="F534" s="6" t="s">
        <v>572</v>
      </c>
      <c r="G534" s="7" t="str">
        <f aca="false">HYPERLINK(CONCATENATE("http://crfop.gdos.gov.pl/CRFOP/widok/viewpomnikprzyrody.jsf?fop=","PL.ZIPOP.1393.PP.1010032.1429"),"(kliknij lub Ctrl+kliknij)")</f>
        <v>(kliknij lub Ctrl+kliknij)</v>
      </c>
      <c r="H534" s="0" t="s">
        <v>759</v>
      </c>
    </row>
    <row r="535" customFormat="false" ht="12.8" hidden="false" customHeight="false" outlineLevel="0" collapsed="false">
      <c r="A535" s="1" t="s">
        <v>569</v>
      </c>
      <c r="C535" s="3" t="s">
        <v>587</v>
      </c>
      <c r="D535" s="4" t="s">
        <v>571</v>
      </c>
      <c r="F535" s="6" t="s">
        <v>575</v>
      </c>
      <c r="G535" s="7" t="str">
        <f aca="false">HYPERLINK(CONCATENATE("http://crfop.gdos.gov.pl/CRFOP/widok/viewpomnikprzyrody.jsf?fop=","PL.ZIPOP.1393.PP.1010032.1430"),"(kliknij lub Ctrl+kliknij)")</f>
        <v>(kliknij lub Ctrl+kliknij)</v>
      </c>
      <c r="H535" s="0" t="s">
        <v>759</v>
      </c>
    </row>
    <row r="536" customFormat="false" ht="12.8" hidden="false" customHeight="false" outlineLevel="0" collapsed="false">
      <c r="A536" s="1" t="s">
        <v>569</v>
      </c>
      <c r="C536" s="3" t="s">
        <v>587</v>
      </c>
      <c r="D536" s="4" t="s">
        <v>571</v>
      </c>
      <c r="F536" s="6" t="s">
        <v>575</v>
      </c>
      <c r="G536" s="7" t="str">
        <f aca="false">HYPERLINK(CONCATENATE("http://crfop.gdos.gov.pl/CRFOP/widok/viewpomnikprzyrody.jsf?fop=","PL.ZIPOP.1393.PP.1010032.1431"),"(kliknij lub Ctrl+kliknij)")</f>
        <v>(kliknij lub Ctrl+kliknij)</v>
      </c>
      <c r="H536" s="0" t="s">
        <v>759</v>
      </c>
    </row>
    <row r="537" customFormat="false" ht="12.8" hidden="false" customHeight="false" outlineLevel="0" collapsed="false">
      <c r="A537" s="1" t="s">
        <v>569</v>
      </c>
      <c r="C537" s="3" t="s">
        <v>591</v>
      </c>
      <c r="D537" s="4" t="s">
        <v>571</v>
      </c>
      <c r="F537" s="6" t="s">
        <v>592</v>
      </c>
      <c r="G537" s="7" t="str">
        <f aca="false">HYPERLINK(CONCATENATE("http://crfop.gdos.gov.pl/CRFOP/widok/viewpomnikprzyrody.jsf?fop=","PL.ZIPOP.1393.PP.1010032.1432"),"(kliknij lub Ctrl+kliknij)")</f>
        <v>(kliknij lub Ctrl+kliknij)</v>
      </c>
      <c r="H537" s="0" t="s">
        <v>759</v>
      </c>
    </row>
    <row r="538" customFormat="false" ht="12.8" hidden="false" customHeight="false" outlineLevel="0" collapsed="false">
      <c r="A538" s="1" t="s">
        <v>569</v>
      </c>
      <c r="C538" s="3" t="s">
        <v>591</v>
      </c>
      <c r="D538" s="4" t="s">
        <v>571</v>
      </c>
      <c r="F538" s="6" t="s">
        <v>592</v>
      </c>
      <c r="G538" s="7" t="str">
        <f aca="false">HYPERLINK(CONCATENATE("http://crfop.gdos.gov.pl/CRFOP/widok/viewpomnikprzyrody.jsf?fop=","PL.ZIPOP.1393.PP.1010032.1433"),"(kliknij lub Ctrl+kliknij)")</f>
        <v>(kliknij lub Ctrl+kliknij)</v>
      </c>
      <c r="H538" s="0" t="s">
        <v>759</v>
      </c>
    </row>
    <row r="539" customFormat="false" ht="12.8" hidden="false" customHeight="false" outlineLevel="0" collapsed="false">
      <c r="A539" s="1" t="s">
        <v>569</v>
      </c>
      <c r="C539" s="3" t="s">
        <v>756</v>
      </c>
      <c r="D539" s="4" t="s">
        <v>571</v>
      </c>
      <c r="F539" s="6" t="s">
        <v>572</v>
      </c>
      <c r="G539" s="7" t="str">
        <f aca="false">HYPERLINK(CONCATENATE("http://crfop.gdos.gov.pl/CRFOP/widok/viewpomnikprzyrody.jsf?fop=","PL.ZIPOP.1393.PP.1010042.1435"),"(kliknij lub Ctrl+kliknij)")</f>
        <v>(kliknij lub Ctrl+kliknij)</v>
      </c>
      <c r="H539" s="0" t="s">
        <v>413</v>
      </c>
    </row>
    <row r="540" customFormat="false" ht="12.8" hidden="false" customHeight="false" outlineLevel="0" collapsed="false">
      <c r="A540" s="1" t="s">
        <v>569</v>
      </c>
      <c r="C540" s="3" t="s">
        <v>591</v>
      </c>
      <c r="D540" s="4" t="s">
        <v>571</v>
      </c>
      <c r="F540" s="6" t="s">
        <v>592</v>
      </c>
      <c r="G540" s="7" t="str">
        <f aca="false">HYPERLINK(CONCATENATE("http://crfop.gdos.gov.pl/CRFOP/widok/viewpomnikprzyrody.jsf?fop=","PL.ZIPOP.1393.PP.1010042.1446"),"(kliknij lub Ctrl+kliknij)")</f>
        <v>(kliknij lub Ctrl+kliknij)</v>
      </c>
      <c r="H540" s="0" t="s">
        <v>413</v>
      </c>
    </row>
    <row r="541" customFormat="false" ht="12.8" hidden="false" customHeight="false" outlineLevel="0" collapsed="false">
      <c r="A541" s="1" t="s">
        <v>569</v>
      </c>
      <c r="C541" s="3" t="s">
        <v>587</v>
      </c>
      <c r="D541" s="4" t="s">
        <v>571</v>
      </c>
      <c r="F541" s="6" t="s">
        <v>575</v>
      </c>
      <c r="G541" s="7" t="str">
        <f aca="false">HYPERLINK(CONCATENATE("http://crfop.gdos.gov.pl/CRFOP/widok/viewpomnikprzyrody.jsf?fop=","PL.ZIPOP.1393.PP.1010052.1451"),"(kliknij lub Ctrl+kliknij)")</f>
        <v>(kliknij lub Ctrl+kliknij)</v>
      </c>
      <c r="H541" s="0" t="s">
        <v>760</v>
      </c>
    </row>
    <row r="542" customFormat="false" ht="12.8" hidden="false" customHeight="false" outlineLevel="0" collapsed="false">
      <c r="A542" s="1" t="s">
        <v>569</v>
      </c>
      <c r="C542" s="3" t="s">
        <v>756</v>
      </c>
      <c r="D542" s="4" t="s">
        <v>571</v>
      </c>
      <c r="F542" s="6" t="s">
        <v>572</v>
      </c>
      <c r="G542" s="7" t="str">
        <f aca="false">HYPERLINK(CONCATENATE("http://crfop.gdos.gov.pl/CRFOP/widok/viewpomnikprzyrody.jsf?fop=","PL.ZIPOP.1393.PP.1010062.1452"),"(kliknij lub Ctrl+kliknij)")</f>
        <v>(kliknij lub Ctrl+kliknij)</v>
      </c>
      <c r="H542" s="0" t="s">
        <v>761</v>
      </c>
    </row>
    <row r="543" customFormat="false" ht="12.8" hidden="false" customHeight="false" outlineLevel="0" collapsed="false">
      <c r="A543" s="1" t="s">
        <v>569</v>
      </c>
      <c r="C543" s="3" t="s">
        <v>591</v>
      </c>
      <c r="D543" s="4" t="s">
        <v>571</v>
      </c>
      <c r="F543" s="6" t="s">
        <v>592</v>
      </c>
      <c r="G543" s="7" t="str">
        <f aca="false">HYPERLINK(CONCATENATE("http://crfop.gdos.gov.pl/CRFOP/widok/viewpomnikprzyrody.jsf?fop=","PL.ZIPOP.1393.PP.1010062.1453"),"(kliknij lub Ctrl+kliknij)")</f>
        <v>(kliknij lub Ctrl+kliknij)</v>
      </c>
      <c r="H543" s="0" t="s">
        <v>761</v>
      </c>
    </row>
    <row r="544" customFormat="false" ht="12.8" hidden="false" customHeight="false" outlineLevel="0" collapsed="false">
      <c r="A544" s="1" t="s">
        <v>569</v>
      </c>
      <c r="C544" s="3" t="s">
        <v>762</v>
      </c>
      <c r="D544" s="4" t="s">
        <v>571</v>
      </c>
      <c r="F544" s="6" t="s">
        <v>763</v>
      </c>
      <c r="G544" s="7" t="str">
        <f aca="false">HYPERLINK(CONCATENATE("http://crfop.gdos.gov.pl/CRFOP/widok/viewpomnikprzyrody.jsf?fop=","PL.ZIPOP.1393.PP.1010072.1461"),"(kliknij lub Ctrl+kliknij)")</f>
        <v>(kliknij lub Ctrl+kliknij)</v>
      </c>
      <c r="H544" s="0" t="s">
        <v>764</v>
      </c>
    </row>
    <row r="545" customFormat="false" ht="12.8" hidden="false" customHeight="false" outlineLevel="0" collapsed="false">
      <c r="A545" s="1" t="s">
        <v>569</v>
      </c>
      <c r="C545" s="3" t="s">
        <v>762</v>
      </c>
      <c r="D545" s="4" t="s">
        <v>571</v>
      </c>
      <c r="F545" s="6" t="s">
        <v>763</v>
      </c>
      <c r="G545" s="7" t="str">
        <f aca="false">HYPERLINK(CONCATENATE("http://crfop.gdos.gov.pl/CRFOP/widok/viewpomnikprzyrody.jsf?fop=","PL.ZIPOP.1393.PP.1010072.1462"),"(kliknij lub Ctrl+kliknij)")</f>
        <v>(kliknij lub Ctrl+kliknij)</v>
      </c>
      <c r="H545" s="0" t="s">
        <v>764</v>
      </c>
    </row>
    <row r="546" customFormat="false" ht="12.8" hidden="false" customHeight="false" outlineLevel="0" collapsed="false">
      <c r="A546" s="1" t="s">
        <v>569</v>
      </c>
      <c r="C546" s="3" t="s">
        <v>765</v>
      </c>
      <c r="D546" s="4" t="s">
        <v>571</v>
      </c>
      <c r="F546" s="6" t="s">
        <v>766</v>
      </c>
      <c r="G546" s="7" t="str">
        <f aca="false">HYPERLINK(CONCATENATE("http://crfop.gdos.gov.pl/CRFOP/widok/viewpomnikprzyrody.jsf?fop=","PL.ZIPOP.1393.PP.1010072.1463"),"(kliknij lub Ctrl+kliknij)")</f>
        <v>(kliknij lub Ctrl+kliknij)</v>
      </c>
      <c r="H546" s="0" t="s">
        <v>764</v>
      </c>
    </row>
    <row r="547" customFormat="false" ht="12.8" hidden="false" customHeight="false" outlineLevel="0" collapsed="false">
      <c r="A547" s="1" t="s">
        <v>569</v>
      </c>
      <c r="C547" s="3" t="s">
        <v>765</v>
      </c>
      <c r="D547" s="4" t="s">
        <v>571</v>
      </c>
      <c r="F547" s="6" t="s">
        <v>766</v>
      </c>
      <c r="G547" s="7" t="str">
        <f aca="false">HYPERLINK(CONCATENATE("http://crfop.gdos.gov.pl/CRFOP/widok/viewpomnikprzyrody.jsf?fop=","PL.ZIPOP.1393.PP.1010072.1464"),"(kliknij lub Ctrl+kliknij)")</f>
        <v>(kliknij lub Ctrl+kliknij)</v>
      </c>
      <c r="H547" s="0" t="s">
        <v>764</v>
      </c>
    </row>
    <row r="548" customFormat="false" ht="12.8" hidden="false" customHeight="false" outlineLevel="0" collapsed="false">
      <c r="A548" s="1" t="s">
        <v>569</v>
      </c>
      <c r="C548" s="3" t="s">
        <v>767</v>
      </c>
      <c r="D548" s="4" t="s">
        <v>571</v>
      </c>
      <c r="F548" s="6" t="s">
        <v>768</v>
      </c>
      <c r="G548" s="7" t="str">
        <f aca="false">HYPERLINK(CONCATENATE("http://crfop.gdos.gov.pl/CRFOP/widok/viewpomnikprzyrody.jsf?fop=","PL.ZIPOP.1393.PP.1010072.3129"),"(kliknij lub Ctrl+kliknij)")</f>
        <v>(kliknij lub Ctrl+kliknij)</v>
      </c>
      <c r="H548" s="0" t="s">
        <v>764</v>
      </c>
    </row>
    <row r="549" customFormat="false" ht="12.8" hidden="false" customHeight="false" outlineLevel="0" collapsed="false">
      <c r="A549" s="1" t="s">
        <v>569</v>
      </c>
      <c r="C549" s="3" t="s">
        <v>756</v>
      </c>
      <c r="D549" s="4" t="s">
        <v>571</v>
      </c>
      <c r="F549" s="6" t="s">
        <v>572</v>
      </c>
      <c r="G549" s="7" t="str">
        <f aca="false">HYPERLINK(CONCATENATE("http://crfop.gdos.gov.pl/CRFOP/widok/viewpomnikprzyrody.jsf?fop=","PL.ZIPOP.1393.PP.1010082.1454"),"(kliknij lub Ctrl+kliknij)")</f>
        <v>(kliknij lub Ctrl+kliknij)</v>
      </c>
      <c r="H549" s="0" t="s">
        <v>769</v>
      </c>
    </row>
    <row r="550" customFormat="false" ht="12.8" hidden="false" customHeight="false" outlineLevel="0" collapsed="false">
      <c r="A550" s="1" t="s">
        <v>569</v>
      </c>
      <c r="C550" s="3" t="s">
        <v>756</v>
      </c>
      <c r="D550" s="4" t="s">
        <v>571</v>
      </c>
      <c r="F550" s="6" t="s">
        <v>572</v>
      </c>
      <c r="G550" s="7" t="str">
        <f aca="false">HYPERLINK(CONCATENATE("http://crfop.gdos.gov.pl/CRFOP/widok/viewpomnikprzyrody.jsf?fop=","PL.ZIPOP.1393.PP.1010082.1455"),"(kliknij lub Ctrl+kliknij)")</f>
        <v>(kliknij lub Ctrl+kliknij)</v>
      </c>
      <c r="H550" s="0" t="s">
        <v>769</v>
      </c>
    </row>
    <row r="551" customFormat="false" ht="12.8" hidden="false" customHeight="false" outlineLevel="0" collapsed="false">
      <c r="A551" s="1" t="s">
        <v>569</v>
      </c>
      <c r="C551" s="3" t="s">
        <v>756</v>
      </c>
      <c r="D551" s="4" t="s">
        <v>571</v>
      </c>
      <c r="F551" s="6" t="s">
        <v>572</v>
      </c>
      <c r="G551" s="7" t="str">
        <f aca="false">HYPERLINK(CONCATENATE("http://crfop.gdos.gov.pl/CRFOP/widok/viewpomnikprzyrody.jsf?fop=","PL.ZIPOP.1393.PP.1010082.1456"),"(kliknij lub Ctrl+kliknij)")</f>
        <v>(kliknij lub Ctrl+kliknij)</v>
      </c>
      <c r="H551" s="0" t="s">
        <v>769</v>
      </c>
    </row>
    <row r="552" customFormat="false" ht="12.8" hidden="false" customHeight="false" outlineLevel="0" collapsed="false">
      <c r="A552" s="1" t="s">
        <v>569</v>
      </c>
      <c r="C552" s="3" t="s">
        <v>770</v>
      </c>
      <c r="D552" s="4" t="s">
        <v>571</v>
      </c>
      <c r="F552" s="6" t="s">
        <v>771</v>
      </c>
      <c r="G552" s="7" t="str">
        <f aca="false">HYPERLINK(CONCATENATE("http://crfop.gdos.gov.pl/CRFOP/widok/viewpomnikprzyrody.jsf?fop=","PL.ZIPOP.1393.PP.1010082.1457"),"(kliknij lub Ctrl+kliknij)")</f>
        <v>(kliknij lub Ctrl+kliknij)</v>
      </c>
      <c r="H552" s="0" t="s">
        <v>769</v>
      </c>
    </row>
    <row r="553" customFormat="false" ht="12.8" hidden="false" customHeight="false" outlineLevel="0" collapsed="false">
      <c r="A553" s="1" t="s">
        <v>569</v>
      </c>
      <c r="C553" s="3" t="s">
        <v>591</v>
      </c>
      <c r="D553" s="4" t="s">
        <v>571</v>
      </c>
      <c r="F553" s="6" t="s">
        <v>592</v>
      </c>
      <c r="G553" s="7" t="str">
        <f aca="false">HYPERLINK(CONCATENATE("http://crfop.gdos.gov.pl/CRFOP/widok/viewpomnikprzyrody.jsf?fop=","PL.ZIPOP.1393.PP.1010093.1459"),"(kliknij lub Ctrl+kliknij)")</f>
        <v>(kliknij lub Ctrl+kliknij)</v>
      </c>
      <c r="H553" s="0" t="s">
        <v>772</v>
      </c>
    </row>
    <row r="554" customFormat="false" ht="12.8" hidden="false" customHeight="false" outlineLevel="0" collapsed="false">
      <c r="A554" s="1" t="s">
        <v>569</v>
      </c>
      <c r="C554" s="3" t="s">
        <v>773</v>
      </c>
      <c r="D554" s="4" t="s">
        <v>571</v>
      </c>
      <c r="F554" s="6" t="s">
        <v>649</v>
      </c>
      <c r="G554" s="7" t="str">
        <f aca="false">HYPERLINK(CONCATENATE("http://crfop.gdos.gov.pl/CRFOP/widok/viewpomnikprzyrody.jsf?fop=","PL.ZIPOP.1393.PP.1010093.1460"),"(kliknij lub Ctrl+kliknij)")</f>
        <v>(kliknij lub Ctrl+kliknij)</v>
      </c>
      <c r="H554" s="0" t="s">
        <v>772</v>
      </c>
    </row>
    <row r="555" customFormat="false" ht="12.8" hidden="false" customHeight="false" outlineLevel="0" collapsed="false">
      <c r="A555" s="1" t="s">
        <v>569</v>
      </c>
      <c r="C555" s="3" t="s">
        <v>582</v>
      </c>
      <c r="D555" s="4" t="s">
        <v>571</v>
      </c>
      <c r="F555" s="6" t="s">
        <v>774</v>
      </c>
      <c r="G555" s="7" t="str">
        <f aca="false">HYPERLINK(CONCATENATE("http://crfop.gdos.gov.pl/CRFOP/widok/viewpomnikprzyrody.jsf?fop=","PL.ZIPOP.1393.PP.1010093.3155"),"(kliknij lub Ctrl+kliknij)")</f>
        <v>(kliknij lub Ctrl+kliknij)</v>
      </c>
      <c r="H555" s="0" t="s">
        <v>772</v>
      </c>
    </row>
    <row r="556" customFormat="false" ht="12.8" hidden="false" customHeight="false" outlineLevel="0" collapsed="false">
      <c r="A556" s="1" t="s">
        <v>569</v>
      </c>
      <c r="C556" s="3" t="s">
        <v>570</v>
      </c>
      <c r="D556" s="4" t="s">
        <v>571</v>
      </c>
      <c r="F556" s="6" t="s">
        <v>572</v>
      </c>
      <c r="G556" s="7" t="str">
        <f aca="false">HYPERLINK(CONCATENATE("http://crfop.gdos.gov.pl/CRFOP/widok/viewpomnikprzyrody.jsf?fop=","PL.ZIPOP.1393.PP.1010102.1465"),"(kliknij lub Ctrl+kliknij)")</f>
        <v>(kliknij lub Ctrl+kliknij)</v>
      </c>
      <c r="H556" s="0" t="s">
        <v>775</v>
      </c>
    </row>
    <row r="557" customFormat="false" ht="12.8" hidden="false" customHeight="false" outlineLevel="0" collapsed="false">
      <c r="A557" s="1" t="s">
        <v>569</v>
      </c>
      <c r="C557" s="3" t="s">
        <v>570</v>
      </c>
      <c r="D557" s="4" t="s">
        <v>571</v>
      </c>
      <c r="F557" s="6" t="s">
        <v>572</v>
      </c>
      <c r="G557" s="7" t="str">
        <f aca="false">HYPERLINK(CONCATENATE("http://crfop.gdos.gov.pl/CRFOP/widok/viewpomnikprzyrody.jsf?fop=","PL.ZIPOP.1393.PP.1010102.1466"),"(kliknij lub Ctrl+kliknij)")</f>
        <v>(kliknij lub Ctrl+kliknij)</v>
      </c>
      <c r="H557" s="0" t="s">
        <v>775</v>
      </c>
    </row>
    <row r="558" customFormat="false" ht="12.8" hidden="false" customHeight="false" outlineLevel="0" collapsed="false">
      <c r="A558" s="1" t="s">
        <v>569</v>
      </c>
      <c r="C558" s="3" t="s">
        <v>570</v>
      </c>
      <c r="D558" s="4" t="s">
        <v>571</v>
      </c>
      <c r="F558" s="6" t="s">
        <v>572</v>
      </c>
      <c r="G558" s="7" t="str">
        <f aca="false">HYPERLINK(CONCATENATE("http://crfop.gdos.gov.pl/CRFOP/widok/viewpomnikprzyrody.jsf?fop=","PL.ZIPOP.1393.PP.1010102.1467"),"(kliknij lub Ctrl+kliknij)")</f>
        <v>(kliknij lub Ctrl+kliknij)</v>
      </c>
      <c r="H558" s="0" t="s">
        <v>775</v>
      </c>
    </row>
    <row r="559" customFormat="false" ht="12.8" hidden="false" customHeight="false" outlineLevel="0" collapsed="false">
      <c r="A559" s="1" t="s">
        <v>569</v>
      </c>
      <c r="C559" s="3" t="s">
        <v>574</v>
      </c>
      <c r="D559" s="4" t="s">
        <v>571</v>
      </c>
      <c r="F559" s="6" t="s">
        <v>575</v>
      </c>
      <c r="G559" s="7" t="str">
        <f aca="false">HYPERLINK(CONCATENATE("http://crfop.gdos.gov.pl/CRFOP/widok/viewpomnikprzyrody.jsf?fop=","PL.ZIPOP.1393.PP.1010102.1468"),"(kliknij lub Ctrl+kliknij)")</f>
        <v>(kliknij lub Ctrl+kliknij)</v>
      </c>
      <c r="H559" s="0" t="s">
        <v>775</v>
      </c>
    </row>
    <row r="560" customFormat="false" ht="12.8" hidden="false" customHeight="false" outlineLevel="0" collapsed="false">
      <c r="A560" s="1" t="s">
        <v>569</v>
      </c>
      <c r="C560" s="3" t="s">
        <v>574</v>
      </c>
      <c r="D560" s="4" t="s">
        <v>571</v>
      </c>
      <c r="F560" s="6" t="s">
        <v>575</v>
      </c>
      <c r="G560" s="7" t="str">
        <f aca="false">HYPERLINK(CONCATENATE("http://crfop.gdos.gov.pl/CRFOP/widok/viewpomnikprzyrody.jsf?fop=","PL.ZIPOP.1393.PP.1010102.1469"),"(kliknij lub Ctrl+kliknij)")</f>
        <v>(kliknij lub Ctrl+kliknij)</v>
      </c>
      <c r="H560" s="0" t="s">
        <v>775</v>
      </c>
    </row>
    <row r="561" customFormat="false" ht="12.8" hidden="false" customHeight="false" outlineLevel="0" collapsed="false">
      <c r="A561" s="1" t="s">
        <v>569</v>
      </c>
      <c r="C561" s="3" t="s">
        <v>776</v>
      </c>
      <c r="D561" s="4" t="s">
        <v>571</v>
      </c>
      <c r="F561" s="6" t="s">
        <v>777</v>
      </c>
      <c r="G561" s="7" t="str">
        <f aca="false">HYPERLINK(CONCATENATE("http://crfop.gdos.gov.pl/CRFOP/widok/viewpomnikprzyrody.jsf?fop=","PL.ZIPOP.1393.PP.1010102.1470"),"(kliknij lub Ctrl+kliknij)")</f>
        <v>(kliknij lub Ctrl+kliknij)</v>
      </c>
      <c r="H561" s="0" t="s">
        <v>775</v>
      </c>
    </row>
    <row r="562" customFormat="false" ht="12.8" hidden="false" customHeight="false" outlineLevel="0" collapsed="false">
      <c r="A562" s="1" t="s">
        <v>569</v>
      </c>
      <c r="C562" s="3" t="s">
        <v>570</v>
      </c>
      <c r="D562" s="4" t="s">
        <v>571</v>
      </c>
      <c r="F562" s="6" t="s">
        <v>572</v>
      </c>
      <c r="G562" s="7" t="str">
        <f aca="false">HYPERLINK(CONCATENATE("http://crfop.gdos.gov.pl/CRFOP/widok/viewpomnikprzyrody.jsf?fop=","PL.ZIPOP.1393.PP.1010113.1471"),"(kliknij lub Ctrl+kliknij)")</f>
        <v>(kliknij lub Ctrl+kliknij)</v>
      </c>
      <c r="H562" s="0" t="s">
        <v>778</v>
      </c>
    </row>
    <row r="563" customFormat="false" ht="12.8" hidden="false" customHeight="false" outlineLevel="0" collapsed="false">
      <c r="A563" s="1" t="s">
        <v>569</v>
      </c>
      <c r="C563" s="3" t="s">
        <v>591</v>
      </c>
      <c r="D563" s="4" t="s">
        <v>571</v>
      </c>
      <c r="F563" s="6" t="s">
        <v>592</v>
      </c>
      <c r="G563" s="7" t="str">
        <f aca="false">HYPERLINK(CONCATENATE("http://crfop.gdos.gov.pl/CRFOP/widok/viewpomnikprzyrody.jsf?fop=","PL.ZIPOP.1393.PP.1010113.1476"),"(kliknij lub Ctrl+kliknij)")</f>
        <v>(kliknij lub Ctrl+kliknij)</v>
      </c>
      <c r="H563" s="0" t="s">
        <v>778</v>
      </c>
    </row>
    <row r="564" customFormat="false" ht="12.8" hidden="false" customHeight="false" outlineLevel="0" collapsed="false">
      <c r="A564" s="1" t="s">
        <v>569</v>
      </c>
      <c r="C564" s="3" t="s">
        <v>584</v>
      </c>
      <c r="D564" s="4" t="s">
        <v>571</v>
      </c>
      <c r="F564" s="6" t="s">
        <v>779</v>
      </c>
      <c r="G564" s="7" t="str">
        <f aca="false">HYPERLINK(CONCATENATE("http://crfop.gdos.gov.pl/CRFOP/widok/viewpomnikprzyrody.jsf?fop=","PL.ZIPOP.1393.PP.1011012.1990"),"(kliknij lub Ctrl+kliknij)")</f>
        <v>(kliknij lub Ctrl+kliknij)</v>
      </c>
      <c r="H564" s="0" t="s">
        <v>780</v>
      </c>
    </row>
    <row r="565" customFormat="false" ht="12.8" hidden="false" customHeight="false" outlineLevel="0" collapsed="false">
      <c r="A565" s="1" t="s">
        <v>569</v>
      </c>
      <c r="C565" s="3" t="s">
        <v>584</v>
      </c>
      <c r="D565" s="4" t="s">
        <v>571</v>
      </c>
      <c r="F565" s="6" t="s">
        <v>779</v>
      </c>
      <c r="G565" s="7" t="str">
        <f aca="false">HYPERLINK(CONCATENATE("http://crfop.gdos.gov.pl/CRFOP/widok/viewpomnikprzyrody.jsf?fop=","PL.ZIPOP.1393.PP.1011012.1991"),"(kliknij lub Ctrl+kliknij)")</f>
        <v>(kliknij lub Ctrl+kliknij)</v>
      </c>
      <c r="H565" s="0" t="s">
        <v>780</v>
      </c>
    </row>
    <row r="566" customFormat="false" ht="12.8" hidden="false" customHeight="false" outlineLevel="0" collapsed="false">
      <c r="A566" s="1" t="s">
        <v>569</v>
      </c>
      <c r="C566" s="3" t="s">
        <v>584</v>
      </c>
      <c r="D566" s="4" t="s">
        <v>571</v>
      </c>
      <c r="F566" s="6" t="s">
        <v>779</v>
      </c>
      <c r="G566" s="7" t="str">
        <f aca="false">HYPERLINK(CONCATENATE("http://crfop.gdos.gov.pl/CRFOP/widok/viewpomnikprzyrody.jsf?fop=","PL.ZIPOP.1393.PP.1011012.1992"),"(kliknij lub Ctrl+kliknij)")</f>
        <v>(kliknij lub Ctrl+kliknij)</v>
      </c>
      <c r="H566" s="0" t="s">
        <v>780</v>
      </c>
    </row>
    <row r="567" customFormat="false" ht="12.8" hidden="false" customHeight="false" outlineLevel="0" collapsed="false">
      <c r="A567" s="1" t="s">
        <v>569</v>
      </c>
      <c r="C567" s="3" t="s">
        <v>584</v>
      </c>
      <c r="D567" s="4" t="s">
        <v>571</v>
      </c>
      <c r="F567" s="6" t="s">
        <v>779</v>
      </c>
      <c r="G567" s="7" t="str">
        <f aca="false">HYPERLINK(CONCATENATE("http://crfop.gdos.gov.pl/CRFOP/widok/viewpomnikprzyrody.jsf?fop=","PL.ZIPOP.1393.PP.1011012.1993"),"(kliknij lub Ctrl+kliknij)")</f>
        <v>(kliknij lub Ctrl+kliknij)</v>
      </c>
      <c r="H567" s="0" t="s">
        <v>780</v>
      </c>
    </row>
    <row r="568" customFormat="false" ht="12.8" hidden="false" customHeight="false" outlineLevel="0" collapsed="false">
      <c r="A568" s="1" t="s">
        <v>569</v>
      </c>
      <c r="C568" s="3" t="s">
        <v>584</v>
      </c>
      <c r="D568" s="4" t="s">
        <v>571</v>
      </c>
      <c r="F568" s="6" t="s">
        <v>779</v>
      </c>
      <c r="G568" s="7" t="str">
        <f aca="false">HYPERLINK(CONCATENATE("http://crfop.gdos.gov.pl/CRFOP/widok/viewpomnikprzyrody.jsf?fop=","PL.ZIPOP.1393.PP.1011012.1994"),"(kliknij lub Ctrl+kliknij)")</f>
        <v>(kliknij lub Ctrl+kliknij)</v>
      </c>
      <c r="H568" s="0" t="s">
        <v>780</v>
      </c>
    </row>
    <row r="569" customFormat="false" ht="12.8" hidden="false" customHeight="false" outlineLevel="0" collapsed="false">
      <c r="A569" s="1" t="s">
        <v>569</v>
      </c>
      <c r="C569" s="3" t="s">
        <v>584</v>
      </c>
      <c r="D569" s="4" t="s">
        <v>571</v>
      </c>
      <c r="F569" s="6" t="s">
        <v>779</v>
      </c>
      <c r="G569" s="7" t="str">
        <f aca="false">HYPERLINK(CONCATENATE("http://crfop.gdos.gov.pl/CRFOP/widok/viewpomnikprzyrody.jsf?fop=","PL.ZIPOP.1393.PP.1011012.1995"),"(kliknij lub Ctrl+kliknij)")</f>
        <v>(kliknij lub Ctrl+kliknij)</v>
      </c>
      <c r="H569" s="0" t="s">
        <v>780</v>
      </c>
    </row>
    <row r="570" customFormat="false" ht="12.8" hidden="false" customHeight="false" outlineLevel="0" collapsed="false">
      <c r="A570" s="1" t="s">
        <v>569</v>
      </c>
      <c r="C570" s="3" t="s">
        <v>584</v>
      </c>
      <c r="D570" s="4" t="s">
        <v>571</v>
      </c>
      <c r="F570" s="6" t="s">
        <v>779</v>
      </c>
      <c r="G570" s="7" t="str">
        <f aca="false">HYPERLINK(CONCATENATE("http://crfop.gdos.gov.pl/CRFOP/widok/viewpomnikprzyrody.jsf?fop=","PL.ZIPOP.1393.PP.1011012.1996"),"(kliknij lub Ctrl+kliknij)")</f>
        <v>(kliknij lub Ctrl+kliknij)</v>
      </c>
      <c r="H570" s="0" t="s">
        <v>780</v>
      </c>
    </row>
    <row r="571" customFormat="false" ht="12.8" hidden="false" customHeight="false" outlineLevel="0" collapsed="false">
      <c r="A571" s="1" t="s">
        <v>569</v>
      </c>
      <c r="C571" s="3" t="s">
        <v>584</v>
      </c>
      <c r="D571" s="4" t="s">
        <v>571</v>
      </c>
      <c r="F571" s="6" t="s">
        <v>779</v>
      </c>
      <c r="G571" s="7" t="str">
        <f aca="false">HYPERLINK(CONCATENATE("http://crfop.gdos.gov.pl/CRFOP/widok/viewpomnikprzyrody.jsf?fop=","PL.ZIPOP.1393.PP.1011012.1997"),"(kliknij lub Ctrl+kliknij)")</f>
        <v>(kliknij lub Ctrl+kliknij)</v>
      </c>
      <c r="H571" s="0" t="s">
        <v>780</v>
      </c>
    </row>
    <row r="572" customFormat="false" ht="12.8" hidden="false" customHeight="false" outlineLevel="0" collapsed="false">
      <c r="A572" s="1" t="s">
        <v>569</v>
      </c>
      <c r="C572" s="3" t="s">
        <v>584</v>
      </c>
      <c r="D572" s="4" t="s">
        <v>571</v>
      </c>
      <c r="F572" s="6" t="s">
        <v>779</v>
      </c>
      <c r="G572" s="7" t="str">
        <f aca="false">HYPERLINK(CONCATENATE("http://crfop.gdos.gov.pl/CRFOP/widok/viewpomnikprzyrody.jsf?fop=","PL.ZIPOP.1393.PP.1011012.1999"),"(kliknij lub Ctrl+kliknij)")</f>
        <v>(kliknij lub Ctrl+kliknij)</v>
      </c>
      <c r="H572" s="0" t="s">
        <v>780</v>
      </c>
    </row>
    <row r="573" customFormat="false" ht="12.8" hidden="false" customHeight="false" outlineLevel="0" collapsed="false">
      <c r="A573" s="1" t="s">
        <v>569</v>
      </c>
      <c r="C573" s="3" t="s">
        <v>584</v>
      </c>
      <c r="D573" s="4" t="s">
        <v>571</v>
      </c>
      <c r="F573" s="6" t="s">
        <v>779</v>
      </c>
      <c r="G573" s="7" t="str">
        <f aca="false">HYPERLINK(CONCATENATE("http://crfop.gdos.gov.pl/CRFOP/widok/viewpomnikprzyrody.jsf?fop=","PL.ZIPOP.1393.PP.1011012.2000"),"(kliknij lub Ctrl+kliknij)")</f>
        <v>(kliknij lub Ctrl+kliknij)</v>
      </c>
      <c r="H573" s="0" t="s">
        <v>780</v>
      </c>
    </row>
    <row r="574" customFormat="false" ht="12.8" hidden="false" customHeight="false" outlineLevel="0" collapsed="false">
      <c r="A574" s="1" t="s">
        <v>569</v>
      </c>
      <c r="C574" s="3" t="s">
        <v>584</v>
      </c>
      <c r="D574" s="4" t="s">
        <v>571</v>
      </c>
      <c r="F574" s="6" t="s">
        <v>779</v>
      </c>
      <c r="G574" s="7" t="str">
        <f aca="false">HYPERLINK(CONCATENATE("http://crfop.gdos.gov.pl/CRFOP/widok/viewpomnikprzyrody.jsf?fop=","PL.ZIPOP.1393.PP.1011012.2001"),"(kliknij lub Ctrl+kliknij)")</f>
        <v>(kliknij lub Ctrl+kliknij)</v>
      </c>
      <c r="H574" s="0" t="s">
        <v>780</v>
      </c>
    </row>
    <row r="575" customFormat="false" ht="12.8" hidden="false" customHeight="false" outlineLevel="0" collapsed="false">
      <c r="A575" s="1" t="s">
        <v>569</v>
      </c>
      <c r="C575" s="3" t="s">
        <v>584</v>
      </c>
      <c r="D575" s="4" t="s">
        <v>571</v>
      </c>
      <c r="F575" s="6" t="s">
        <v>779</v>
      </c>
      <c r="G575" s="7" t="str">
        <f aca="false">HYPERLINK(CONCATENATE("http://crfop.gdos.gov.pl/CRFOP/widok/viewpomnikprzyrody.jsf?fop=","PL.ZIPOP.1393.PP.1011012.2003"),"(kliknij lub Ctrl+kliknij)")</f>
        <v>(kliknij lub Ctrl+kliknij)</v>
      </c>
      <c r="H575" s="0" t="s">
        <v>780</v>
      </c>
    </row>
    <row r="576" customFormat="false" ht="12.8" hidden="false" customHeight="false" outlineLevel="0" collapsed="false">
      <c r="A576" s="1" t="s">
        <v>569</v>
      </c>
      <c r="C576" s="3" t="s">
        <v>584</v>
      </c>
      <c r="D576" s="4" t="s">
        <v>571</v>
      </c>
      <c r="F576" s="6" t="s">
        <v>779</v>
      </c>
      <c r="G576" s="7" t="str">
        <f aca="false">HYPERLINK(CONCATENATE("http://crfop.gdos.gov.pl/CRFOP/widok/viewpomnikprzyrody.jsf?fop=","PL.ZIPOP.1393.PP.1011012.2004"),"(kliknij lub Ctrl+kliknij)")</f>
        <v>(kliknij lub Ctrl+kliknij)</v>
      </c>
      <c r="H576" s="0" t="s">
        <v>780</v>
      </c>
    </row>
    <row r="577" customFormat="false" ht="12.8" hidden="false" customHeight="false" outlineLevel="0" collapsed="false">
      <c r="A577" s="1" t="s">
        <v>569</v>
      </c>
      <c r="C577" s="3" t="s">
        <v>584</v>
      </c>
      <c r="D577" s="4" t="s">
        <v>571</v>
      </c>
      <c r="F577" s="6" t="s">
        <v>779</v>
      </c>
      <c r="G577" s="7" t="str">
        <f aca="false">HYPERLINK(CONCATENATE("http://crfop.gdos.gov.pl/CRFOP/widok/viewpomnikprzyrody.jsf?fop=","PL.ZIPOP.1393.PP.1011012.2005"),"(kliknij lub Ctrl+kliknij)")</f>
        <v>(kliknij lub Ctrl+kliknij)</v>
      </c>
      <c r="H577" s="0" t="s">
        <v>780</v>
      </c>
    </row>
    <row r="578" customFormat="false" ht="12.8" hidden="false" customHeight="false" outlineLevel="0" collapsed="false">
      <c r="A578" s="1" t="s">
        <v>569</v>
      </c>
      <c r="C578" s="3" t="s">
        <v>584</v>
      </c>
      <c r="D578" s="4" t="s">
        <v>571</v>
      </c>
      <c r="F578" s="6" t="s">
        <v>779</v>
      </c>
      <c r="G578" s="7" t="str">
        <f aca="false">HYPERLINK(CONCATENATE("http://crfop.gdos.gov.pl/CRFOP/widok/viewpomnikprzyrody.jsf?fop=","PL.ZIPOP.1393.PP.1011012.2006"),"(kliknij lub Ctrl+kliknij)")</f>
        <v>(kliknij lub Ctrl+kliknij)</v>
      </c>
      <c r="H578" s="0" t="s">
        <v>780</v>
      </c>
    </row>
    <row r="579" customFormat="false" ht="12.8" hidden="false" customHeight="false" outlineLevel="0" collapsed="false">
      <c r="A579" s="1" t="s">
        <v>569</v>
      </c>
      <c r="C579" s="3" t="s">
        <v>584</v>
      </c>
      <c r="D579" s="4" t="s">
        <v>571</v>
      </c>
      <c r="F579" s="6" t="s">
        <v>779</v>
      </c>
      <c r="G579" s="7" t="str">
        <f aca="false">HYPERLINK(CONCATENATE("http://crfop.gdos.gov.pl/CRFOP/widok/viewpomnikprzyrody.jsf?fop=","PL.ZIPOP.1393.PP.1011012.2007"),"(kliknij lub Ctrl+kliknij)")</f>
        <v>(kliknij lub Ctrl+kliknij)</v>
      </c>
      <c r="H579" s="0" t="s">
        <v>780</v>
      </c>
    </row>
    <row r="580" customFormat="false" ht="12.8" hidden="false" customHeight="false" outlineLevel="0" collapsed="false">
      <c r="A580" s="1" t="s">
        <v>569</v>
      </c>
      <c r="C580" s="3" t="s">
        <v>584</v>
      </c>
      <c r="D580" s="4" t="s">
        <v>571</v>
      </c>
      <c r="F580" s="6" t="s">
        <v>779</v>
      </c>
      <c r="G580" s="7" t="str">
        <f aca="false">HYPERLINK(CONCATENATE("http://crfop.gdos.gov.pl/CRFOP/widok/viewpomnikprzyrody.jsf?fop=","PL.ZIPOP.1393.PP.1011012.2008"),"(kliknij lub Ctrl+kliknij)")</f>
        <v>(kliknij lub Ctrl+kliknij)</v>
      </c>
      <c r="H580" s="0" t="s">
        <v>780</v>
      </c>
    </row>
    <row r="581" customFormat="false" ht="12.8" hidden="false" customHeight="false" outlineLevel="0" collapsed="false">
      <c r="A581" s="1" t="s">
        <v>569</v>
      </c>
      <c r="C581" s="3" t="s">
        <v>584</v>
      </c>
      <c r="D581" s="4" t="s">
        <v>571</v>
      </c>
      <c r="F581" s="6" t="s">
        <v>779</v>
      </c>
      <c r="G581" s="7" t="str">
        <f aca="false">HYPERLINK(CONCATENATE("http://crfop.gdos.gov.pl/CRFOP/widok/viewpomnikprzyrody.jsf?fop=","PL.ZIPOP.1393.PP.1011022.2022"),"(kliknij lub Ctrl+kliknij)")</f>
        <v>(kliknij lub Ctrl+kliknij)</v>
      </c>
      <c r="H581" s="0" t="s">
        <v>781</v>
      </c>
    </row>
    <row r="582" customFormat="false" ht="12.8" hidden="false" customHeight="false" outlineLevel="0" collapsed="false">
      <c r="A582" s="1" t="s">
        <v>569</v>
      </c>
      <c r="C582" s="3" t="s">
        <v>584</v>
      </c>
      <c r="D582" s="4" t="s">
        <v>571</v>
      </c>
      <c r="F582" s="6" t="s">
        <v>779</v>
      </c>
      <c r="G582" s="7" t="str">
        <f aca="false">HYPERLINK(CONCATENATE("http://crfop.gdos.gov.pl/CRFOP/widok/viewpomnikprzyrody.jsf?fop=","PL.ZIPOP.1393.PP.1011033.2009"),"(kliknij lub Ctrl+kliknij)")</f>
        <v>(kliknij lub Ctrl+kliknij)</v>
      </c>
      <c r="H582" s="0" t="s">
        <v>782</v>
      </c>
    </row>
    <row r="583" customFormat="false" ht="12.8" hidden="false" customHeight="false" outlineLevel="0" collapsed="false">
      <c r="A583" s="1" t="s">
        <v>569</v>
      </c>
      <c r="C583" s="3" t="s">
        <v>783</v>
      </c>
      <c r="D583" s="4" t="s">
        <v>571</v>
      </c>
      <c r="F583" s="6" t="s">
        <v>784</v>
      </c>
      <c r="G583" s="7" t="str">
        <f aca="false">HYPERLINK(CONCATENATE("http://crfop.gdos.gov.pl/CRFOP/widok/viewpomnikprzyrody.jsf?fop=","PL.ZIPOP.1393.PP.1011033.2015"),"(kliknij lub Ctrl+kliknij)")</f>
        <v>(kliknij lub Ctrl+kliknij)</v>
      </c>
      <c r="H583" s="0" t="s">
        <v>782</v>
      </c>
    </row>
    <row r="584" customFormat="false" ht="12.8" hidden="false" customHeight="false" outlineLevel="0" collapsed="false">
      <c r="A584" s="1" t="s">
        <v>569</v>
      </c>
      <c r="C584" s="3" t="s">
        <v>783</v>
      </c>
      <c r="D584" s="4" t="s">
        <v>571</v>
      </c>
      <c r="F584" s="6" t="s">
        <v>784</v>
      </c>
      <c r="G584" s="7" t="str">
        <f aca="false">HYPERLINK(CONCATENATE("http://crfop.gdos.gov.pl/CRFOP/widok/viewpomnikprzyrody.jsf?fop=","PL.ZIPOP.1393.PP.1011033.2017"),"(kliknij lub Ctrl+kliknij)")</f>
        <v>(kliknij lub Ctrl+kliknij)</v>
      </c>
      <c r="H584" s="0" t="s">
        <v>782</v>
      </c>
    </row>
    <row r="585" customFormat="false" ht="12.8" hidden="false" customHeight="false" outlineLevel="0" collapsed="false">
      <c r="A585" s="1" t="s">
        <v>569</v>
      </c>
      <c r="C585" s="3" t="s">
        <v>584</v>
      </c>
      <c r="D585" s="4" t="s">
        <v>571</v>
      </c>
      <c r="F585" s="6" t="s">
        <v>779</v>
      </c>
      <c r="G585" s="7" t="str">
        <f aca="false">HYPERLINK(CONCATENATE("http://crfop.gdos.gov.pl/CRFOP/widok/viewpomnikprzyrody.jsf?fop=","PL.ZIPOP.1393.PP.1011033.2018"),"(kliknij lub Ctrl+kliknij)")</f>
        <v>(kliknij lub Ctrl+kliknij)</v>
      </c>
      <c r="H585" s="0" t="s">
        <v>782</v>
      </c>
    </row>
    <row r="586" customFormat="false" ht="12.8" hidden="false" customHeight="false" outlineLevel="0" collapsed="false">
      <c r="A586" s="1" t="s">
        <v>569</v>
      </c>
      <c r="C586" s="3" t="s">
        <v>584</v>
      </c>
      <c r="D586" s="4" t="s">
        <v>571</v>
      </c>
      <c r="F586" s="6" t="s">
        <v>779</v>
      </c>
      <c r="G586" s="7" t="str">
        <f aca="false">HYPERLINK(CONCATENATE("http://crfop.gdos.gov.pl/CRFOP/widok/viewpomnikprzyrody.jsf?fop=","PL.ZIPOP.1393.PP.1011033.2019"),"(kliknij lub Ctrl+kliknij)")</f>
        <v>(kliknij lub Ctrl+kliknij)</v>
      </c>
      <c r="H586" s="0" t="s">
        <v>782</v>
      </c>
    </row>
    <row r="587" customFormat="false" ht="12.8" hidden="false" customHeight="false" outlineLevel="0" collapsed="false">
      <c r="A587" s="1" t="s">
        <v>569</v>
      </c>
      <c r="C587" s="3" t="s">
        <v>643</v>
      </c>
      <c r="D587" s="4" t="s">
        <v>571</v>
      </c>
      <c r="F587" s="6" t="s">
        <v>445</v>
      </c>
      <c r="G587" s="7" t="str">
        <f aca="false">HYPERLINK(CONCATENATE("http://crfop.gdos.gov.pl/CRFOP/widok/viewpomnikprzyrody.jsf?fop=","PL.ZIPOP.1393.PP.1011033.2020"),"(kliknij lub Ctrl+kliknij)")</f>
        <v>(kliknij lub Ctrl+kliknij)</v>
      </c>
      <c r="H587" s="0" t="s">
        <v>782</v>
      </c>
    </row>
    <row r="588" customFormat="false" ht="12.8" hidden="false" customHeight="false" outlineLevel="0" collapsed="false">
      <c r="A588" s="1" t="s">
        <v>569</v>
      </c>
      <c r="C588" s="3" t="s">
        <v>647</v>
      </c>
      <c r="D588" s="4" t="s">
        <v>571</v>
      </c>
      <c r="F588" s="6" t="s">
        <v>649</v>
      </c>
      <c r="G588" s="7" t="str">
        <f aca="false">HYPERLINK(CONCATENATE("http://crfop.gdos.gov.pl/CRFOP/widok/viewpomnikprzyrody.jsf?fop=","PL.ZIPOP.1393.PP.1011033.2021"),"(kliknij lub Ctrl+kliknij)")</f>
        <v>(kliknij lub Ctrl+kliknij)</v>
      </c>
      <c r="H588" s="0" t="s">
        <v>782</v>
      </c>
    </row>
    <row r="589" customFormat="false" ht="12.8" hidden="false" customHeight="false" outlineLevel="0" collapsed="false">
      <c r="A589" s="1" t="s">
        <v>569</v>
      </c>
      <c r="C589" s="3" t="s">
        <v>785</v>
      </c>
      <c r="D589" s="4" t="s">
        <v>571</v>
      </c>
      <c r="F589" s="6" t="s">
        <v>786</v>
      </c>
      <c r="G589" s="7" t="str">
        <f aca="false">HYPERLINK(CONCATENATE("http://crfop.gdos.gov.pl/CRFOP/widok/viewpomnikprzyrody.jsf?fop=","PL.ZIPOP.1393.PP.1011043.2023"),"(kliknij lub Ctrl+kliknij)")</f>
        <v>(kliknij lub Ctrl+kliknij)</v>
      </c>
      <c r="H589" s="0" t="s">
        <v>787</v>
      </c>
    </row>
    <row r="590" customFormat="false" ht="12.8" hidden="false" customHeight="false" outlineLevel="0" collapsed="false">
      <c r="A590" s="1" t="s">
        <v>569</v>
      </c>
      <c r="C590" s="3" t="s">
        <v>785</v>
      </c>
      <c r="D590" s="4" t="s">
        <v>571</v>
      </c>
      <c r="F590" s="6" t="s">
        <v>786</v>
      </c>
      <c r="G590" s="7" t="str">
        <f aca="false">HYPERLINK(CONCATENATE("http://crfop.gdos.gov.pl/CRFOP/widok/viewpomnikprzyrody.jsf?fop=","PL.ZIPOP.1393.PP.1011043.2024"),"(kliknij lub Ctrl+kliknij)")</f>
        <v>(kliknij lub Ctrl+kliknij)</v>
      </c>
      <c r="H590" s="0" t="s">
        <v>787</v>
      </c>
    </row>
    <row r="591" customFormat="false" ht="12.8" hidden="false" customHeight="false" outlineLevel="0" collapsed="false">
      <c r="A591" s="1" t="s">
        <v>569</v>
      </c>
      <c r="C591" s="3" t="s">
        <v>785</v>
      </c>
      <c r="D591" s="4" t="s">
        <v>571</v>
      </c>
      <c r="F591" s="6" t="s">
        <v>788</v>
      </c>
      <c r="G591" s="7" t="str">
        <f aca="false">HYPERLINK(CONCATENATE("http://crfop.gdos.gov.pl/CRFOP/widok/viewpomnikprzyrody.jsf?fop=","PL.ZIPOP.1393.PP.1011043.2025"),"(kliknij lub Ctrl+kliknij)")</f>
        <v>(kliknij lub Ctrl+kliknij)</v>
      </c>
      <c r="H591" s="0" t="s">
        <v>787</v>
      </c>
    </row>
    <row r="592" customFormat="false" ht="12.8" hidden="false" customHeight="false" outlineLevel="0" collapsed="false">
      <c r="A592" s="1" t="s">
        <v>569</v>
      </c>
      <c r="C592" s="3" t="s">
        <v>785</v>
      </c>
      <c r="D592" s="4" t="s">
        <v>571</v>
      </c>
      <c r="F592" s="6" t="s">
        <v>789</v>
      </c>
      <c r="G592" s="7" t="str">
        <f aca="false">HYPERLINK(CONCATENATE("http://crfop.gdos.gov.pl/CRFOP/widok/viewpomnikprzyrody.jsf?fop=","PL.ZIPOP.1393.PP.1011043.2026"),"(kliknij lub Ctrl+kliknij)")</f>
        <v>(kliknij lub Ctrl+kliknij)</v>
      </c>
      <c r="H592" s="0" t="s">
        <v>787</v>
      </c>
    </row>
    <row r="593" customFormat="false" ht="12.8" hidden="false" customHeight="false" outlineLevel="0" collapsed="false">
      <c r="A593" s="1" t="s">
        <v>569</v>
      </c>
      <c r="C593" s="3" t="s">
        <v>785</v>
      </c>
      <c r="D593" s="4" t="s">
        <v>571</v>
      </c>
      <c r="F593" s="6" t="s">
        <v>790</v>
      </c>
      <c r="G593" s="7" t="str">
        <f aca="false">HYPERLINK(CONCATENATE("http://crfop.gdos.gov.pl/CRFOP/widok/viewpomnikprzyrody.jsf?fop=","PL.ZIPOP.1393.PP.1011043.2027"),"(kliknij lub Ctrl+kliknij)")</f>
        <v>(kliknij lub Ctrl+kliknij)</v>
      </c>
      <c r="H593" s="0" t="s">
        <v>787</v>
      </c>
    </row>
    <row r="594" customFormat="false" ht="12.8" hidden="false" customHeight="false" outlineLevel="0" collapsed="false">
      <c r="A594" s="1" t="s">
        <v>569</v>
      </c>
      <c r="C594" s="3" t="s">
        <v>647</v>
      </c>
      <c r="D594" s="4" t="s">
        <v>571</v>
      </c>
      <c r="F594" s="6" t="s">
        <v>649</v>
      </c>
      <c r="G594" s="7" t="str">
        <f aca="false">HYPERLINK(CONCATENATE("http://crfop.gdos.gov.pl/CRFOP/widok/viewpomnikprzyrody.jsf?fop=","PL.ZIPOP.1393.PP.1011043.2029"),"(kliknij lub Ctrl+kliknij)")</f>
        <v>(kliknij lub Ctrl+kliknij)</v>
      </c>
      <c r="H594" s="0" t="s">
        <v>787</v>
      </c>
    </row>
    <row r="595" customFormat="false" ht="12.8" hidden="false" customHeight="false" outlineLevel="0" collapsed="false">
      <c r="A595" s="1" t="s">
        <v>569</v>
      </c>
      <c r="C595" s="3" t="s">
        <v>680</v>
      </c>
      <c r="D595" s="4" t="s">
        <v>571</v>
      </c>
      <c r="F595" s="6" t="s">
        <v>681</v>
      </c>
      <c r="G595" s="7" t="str">
        <f aca="false">HYPERLINK(CONCATENATE("http://crfop.gdos.gov.pl/CRFOP/widok/viewpomnikprzyrody.jsf?fop=","PL.ZIPOP.1393.PP.1011043.2030"),"(kliknij lub Ctrl+kliknij)")</f>
        <v>(kliknij lub Ctrl+kliknij)</v>
      </c>
      <c r="H595" s="0" t="s">
        <v>787</v>
      </c>
    </row>
    <row r="596" customFormat="false" ht="12.8" hidden="false" customHeight="false" outlineLevel="0" collapsed="false">
      <c r="A596" s="1" t="s">
        <v>569</v>
      </c>
      <c r="C596" s="3" t="s">
        <v>680</v>
      </c>
      <c r="D596" s="4" t="s">
        <v>571</v>
      </c>
      <c r="F596" s="6" t="s">
        <v>681</v>
      </c>
      <c r="G596" s="7" t="str">
        <f aca="false">HYPERLINK(CONCATENATE("http://crfop.gdos.gov.pl/CRFOP/widok/viewpomnikprzyrody.jsf?fop=","PL.ZIPOP.1393.PP.1011043.2031"),"(kliknij lub Ctrl+kliknij)")</f>
        <v>(kliknij lub Ctrl+kliknij)</v>
      </c>
      <c r="H596" s="0" t="s">
        <v>787</v>
      </c>
    </row>
    <row r="597" customFormat="false" ht="12.8" hidden="false" customHeight="false" outlineLevel="0" collapsed="false">
      <c r="A597" s="1" t="s">
        <v>569</v>
      </c>
      <c r="C597" s="3" t="s">
        <v>584</v>
      </c>
      <c r="D597" s="4" t="s">
        <v>571</v>
      </c>
      <c r="F597" s="6" t="s">
        <v>779</v>
      </c>
      <c r="G597" s="7" t="str">
        <f aca="false">HYPERLINK(CONCATENATE("http://crfop.gdos.gov.pl/CRFOP/widok/viewpomnikprzyrody.jsf?fop=","PL.ZIPOP.1393.PP.1011052.1954"),"(kliknij lub Ctrl+kliknij)")</f>
        <v>(kliknij lub Ctrl+kliknij)</v>
      </c>
      <c r="H597" s="0" t="s">
        <v>791</v>
      </c>
    </row>
    <row r="598" customFormat="false" ht="12.8" hidden="false" customHeight="false" outlineLevel="0" collapsed="false">
      <c r="A598" s="1" t="s">
        <v>569</v>
      </c>
      <c r="C598" s="3" t="s">
        <v>584</v>
      </c>
      <c r="D598" s="4" t="s">
        <v>571</v>
      </c>
      <c r="F598" s="6" t="s">
        <v>779</v>
      </c>
      <c r="G598" s="7" t="str">
        <f aca="false">HYPERLINK(CONCATENATE("http://crfop.gdos.gov.pl/CRFOP/widok/viewpomnikprzyrody.jsf?fop=","PL.ZIPOP.1393.PP.1011052.1955"),"(kliknij lub Ctrl+kliknij)")</f>
        <v>(kliknij lub Ctrl+kliknij)</v>
      </c>
      <c r="H598" s="0" t="s">
        <v>791</v>
      </c>
    </row>
    <row r="599" customFormat="false" ht="12.8" hidden="false" customHeight="false" outlineLevel="0" collapsed="false">
      <c r="A599" s="1" t="s">
        <v>569</v>
      </c>
      <c r="C599" s="3" t="s">
        <v>584</v>
      </c>
      <c r="D599" s="4" t="s">
        <v>571</v>
      </c>
      <c r="F599" s="6" t="s">
        <v>779</v>
      </c>
      <c r="G599" s="7" t="str">
        <f aca="false">HYPERLINK(CONCATENATE("http://crfop.gdos.gov.pl/CRFOP/widok/viewpomnikprzyrody.jsf?fop=","PL.ZIPOP.1393.PP.1011052.1956"),"(kliknij lub Ctrl+kliknij)")</f>
        <v>(kliknij lub Ctrl+kliknij)</v>
      </c>
      <c r="H599" s="0" t="s">
        <v>791</v>
      </c>
    </row>
    <row r="600" customFormat="false" ht="12.8" hidden="false" customHeight="false" outlineLevel="0" collapsed="false">
      <c r="A600" s="1" t="s">
        <v>569</v>
      </c>
      <c r="C600" s="3" t="s">
        <v>584</v>
      </c>
      <c r="D600" s="4" t="s">
        <v>571</v>
      </c>
      <c r="F600" s="6" t="s">
        <v>779</v>
      </c>
      <c r="G600" s="7" t="str">
        <f aca="false">HYPERLINK(CONCATENATE("http://crfop.gdos.gov.pl/CRFOP/widok/viewpomnikprzyrody.jsf?fop=","PL.ZIPOP.1393.PP.1011052.1958"),"(kliknij lub Ctrl+kliknij)")</f>
        <v>(kliknij lub Ctrl+kliknij)</v>
      </c>
      <c r="H600" s="0" t="s">
        <v>791</v>
      </c>
    </row>
    <row r="601" customFormat="false" ht="12.8" hidden="false" customHeight="false" outlineLevel="0" collapsed="false">
      <c r="A601" s="1" t="s">
        <v>569</v>
      </c>
      <c r="C601" s="3" t="s">
        <v>584</v>
      </c>
      <c r="D601" s="4" t="s">
        <v>571</v>
      </c>
      <c r="F601" s="6" t="s">
        <v>779</v>
      </c>
      <c r="G601" s="7" t="str">
        <f aca="false">HYPERLINK(CONCATENATE("http://crfop.gdos.gov.pl/CRFOP/widok/viewpomnikprzyrody.jsf?fop=","PL.ZIPOP.1393.PP.1011052.1959"),"(kliknij lub Ctrl+kliknij)")</f>
        <v>(kliknij lub Ctrl+kliknij)</v>
      </c>
      <c r="H601" s="0" t="s">
        <v>791</v>
      </c>
    </row>
    <row r="602" customFormat="false" ht="12.8" hidden="false" customHeight="false" outlineLevel="0" collapsed="false">
      <c r="A602" s="1" t="s">
        <v>569</v>
      </c>
      <c r="C602" s="3" t="s">
        <v>584</v>
      </c>
      <c r="D602" s="4" t="s">
        <v>571</v>
      </c>
      <c r="F602" s="6" t="s">
        <v>779</v>
      </c>
      <c r="G602" s="7" t="str">
        <f aca="false">HYPERLINK(CONCATENATE("http://crfop.gdos.gov.pl/CRFOP/widok/viewpomnikprzyrody.jsf?fop=","PL.ZIPOP.1393.PP.1011052.1960"),"(kliknij lub Ctrl+kliknij)")</f>
        <v>(kliknij lub Ctrl+kliknij)</v>
      </c>
      <c r="H602" s="0" t="s">
        <v>791</v>
      </c>
    </row>
    <row r="603" customFormat="false" ht="12.8" hidden="false" customHeight="false" outlineLevel="0" collapsed="false">
      <c r="A603" s="1" t="s">
        <v>569</v>
      </c>
      <c r="C603" s="3" t="s">
        <v>584</v>
      </c>
      <c r="D603" s="4" t="s">
        <v>571</v>
      </c>
      <c r="F603" s="6" t="s">
        <v>779</v>
      </c>
      <c r="G603" s="7" t="str">
        <f aca="false">HYPERLINK(CONCATENATE("http://crfop.gdos.gov.pl/CRFOP/widok/viewpomnikprzyrody.jsf?fop=","PL.ZIPOP.1393.PP.1011052.1961"),"(kliknij lub Ctrl+kliknij)")</f>
        <v>(kliknij lub Ctrl+kliknij)</v>
      </c>
      <c r="H603" s="0" t="s">
        <v>791</v>
      </c>
    </row>
    <row r="604" customFormat="false" ht="12.8" hidden="false" customHeight="false" outlineLevel="0" collapsed="false">
      <c r="A604" s="1" t="s">
        <v>569</v>
      </c>
      <c r="C604" s="3" t="s">
        <v>584</v>
      </c>
      <c r="D604" s="4" t="s">
        <v>571</v>
      </c>
      <c r="F604" s="6" t="s">
        <v>779</v>
      </c>
      <c r="G604" s="7" t="str">
        <f aca="false">HYPERLINK(CONCATENATE("http://crfop.gdos.gov.pl/CRFOP/widok/viewpomnikprzyrody.jsf?fop=","PL.ZIPOP.1393.PP.1011052.1962"),"(kliknij lub Ctrl+kliknij)")</f>
        <v>(kliknij lub Ctrl+kliknij)</v>
      </c>
      <c r="H604" s="0" t="s">
        <v>791</v>
      </c>
    </row>
    <row r="605" customFormat="false" ht="12.8" hidden="false" customHeight="false" outlineLevel="0" collapsed="false">
      <c r="A605" s="1" t="s">
        <v>569</v>
      </c>
      <c r="C605" s="3" t="s">
        <v>584</v>
      </c>
      <c r="D605" s="4" t="s">
        <v>571</v>
      </c>
      <c r="F605" s="6" t="s">
        <v>779</v>
      </c>
      <c r="G605" s="7" t="str">
        <f aca="false">HYPERLINK(CONCATENATE("http://crfop.gdos.gov.pl/CRFOP/widok/viewpomnikprzyrody.jsf?fop=","PL.ZIPOP.1393.PP.1011052.1963"),"(kliknij lub Ctrl+kliknij)")</f>
        <v>(kliknij lub Ctrl+kliknij)</v>
      </c>
      <c r="H605" s="0" t="s">
        <v>791</v>
      </c>
    </row>
    <row r="606" customFormat="false" ht="12.8" hidden="false" customHeight="false" outlineLevel="0" collapsed="false">
      <c r="A606" s="1" t="s">
        <v>569</v>
      </c>
      <c r="C606" s="3" t="s">
        <v>584</v>
      </c>
      <c r="D606" s="4" t="s">
        <v>571</v>
      </c>
      <c r="F606" s="6" t="s">
        <v>779</v>
      </c>
      <c r="G606" s="7" t="str">
        <f aca="false">HYPERLINK(CONCATENATE("http://crfop.gdos.gov.pl/CRFOP/widok/viewpomnikprzyrody.jsf?fop=","PL.ZIPOP.1393.PP.1011052.1964"),"(kliknij lub Ctrl+kliknij)")</f>
        <v>(kliknij lub Ctrl+kliknij)</v>
      </c>
      <c r="H606" s="0" t="s">
        <v>791</v>
      </c>
    </row>
    <row r="607" customFormat="false" ht="12.8" hidden="false" customHeight="false" outlineLevel="0" collapsed="false">
      <c r="A607" s="1" t="s">
        <v>569</v>
      </c>
      <c r="C607" s="3" t="s">
        <v>584</v>
      </c>
      <c r="D607" s="4" t="s">
        <v>571</v>
      </c>
      <c r="F607" s="6" t="s">
        <v>779</v>
      </c>
      <c r="G607" s="7" t="str">
        <f aca="false">HYPERLINK(CONCATENATE("http://crfop.gdos.gov.pl/CRFOP/widok/viewpomnikprzyrody.jsf?fop=","PL.ZIPOP.1393.PP.1011052.1966"),"(kliknij lub Ctrl+kliknij)")</f>
        <v>(kliknij lub Ctrl+kliknij)</v>
      </c>
      <c r="H607" s="0" t="s">
        <v>791</v>
      </c>
    </row>
    <row r="608" customFormat="false" ht="12.8" hidden="false" customHeight="false" outlineLevel="0" collapsed="false">
      <c r="A608" s="1" t="s">
        <v>569</v>
      </c>
      <c r="C608" s="3" t="s">
        <v>584</v>
      </c>
      <c r="D608" s="4" t="s">
        <v>571</v>
      </c>
      <c r="F608" s="6" t="s">
        <v>779</v>
      </c>
      <c r="G608" s="7" t="str">
        <f aca="false">HYPERLINK(CONCATENATE("http://crfop.gdos.gov.pl/CRFOP/widok/viewpomnikprzyrody.jsf?fop=","PL.ZIPOP.1393.PP.1011052.1967"),"(kliknij lub Ctrl+kliknij)")</f>
        <v>(kliknij lub Ctrl+kliknij)</v>
      </c>
      <c r="H608" s="0" t="s">
        <v>791</v>
      </c>
    </row>
    <row r="609" customFormat="false" ht="12.8" hidden="false" customHeight="false" outlineLevel="0" collapsed="false">
      <c r="A609" s="1" t="s">
        <v>569</v>
      </c>
      <c r="C609" s="3" t="s">
        <v>584</v>
      </c>
      <c r="D609" s="4" t="s">
        <v>571</v>
      </c>
      <c r="F609" s="6" t="s">
        <v>779</v>
      </c>
      <c r="G609" s="7" t="str">
        <f aca="false">HYPERLINK(CONCATENATE("http://crfop.gdos.gov.pl/CRFOP/widok/viewpomnikprzyrody.jsf?fop=","PL.ZIPOP.1393.PP.1011052.1968"),"(kliknij lub Ctrl+kliknij)")</f>
        <v>(kliknij lub Ctrl+kliknij)</v>
      </c>
      <c r="H609" s="0" t="s">
        <v>791</v>
      </c>
    </row>
    <row r="610" customFormat="false" ht="12.8" hidden="false" customHeight="false" outlineLevel="0" collapsed="false">
      <c r="A610" s="1" t="s">
        <v>569</v>
      </c>
      <c r="C610" s="3" t="s">
        <v>584</v>
      </c>
      <c r="D610" s="4" t="s">
        <v>571</v>
      </c>
      <c r="F610" s="6" t="s">
        <v>779</v>
      </c>
      <c r="G610" s="7" t="str">
        <f aca="false">HYPERLINK(CONCATENATE("http://crfop.gdos.gov.pl/CRFOP/widok/viewpomnikprzyrody.jsf?fop=","PL.ZIPOP.1393.PP.1011052.1969"),"(kliknij lub Ctrl+kliknij)")</f>
        <v>(kliknij lub Ctrl+kliknij)</v>
      </c>
      <c r="H610" s="0" t="s">
        <v>791</v>
      </c>
    </row>
    <row r="611" customFormat="false" ht="12.8" hidden="false" customHeight="false" outlineLevel="0" collapsed="false">
      <c r="A611" s="1" t="s">
        <v>569</v>
      </c>
      <c r="C611" s="3" t="s">
        <v>584</v>
      </c>
      <c r="D611" s="4" t="s">
        <v>571</v>
      </c>
      <c r="F611" s="6" t="s">
        <v>779</v>
      </c>
      <c r="G611" s="7" t="str">
        <f aca="false">HYPERLINK(CONCATENATE("http://crfop.gdos.gov.pl/CRFOP/widok/viewpomnikprzyrody.jsf?fop=","PL.ZIPOP.1393.PP.1011052.3120"),"(kliknij lub Ctrl+kliknij)")</f>
        <v>(kliknij lub Ctrl+kliknij)</v>
      </c>
      <c r="H611" s="0" t="s">
        <v>791</v>
      </c>
    </row>
    <row r="612" customFormat="false" ht="12.8" hidden="false" customHeight="false" outlineLevel="0" collapsed="false">
      <c r="A612" s="1" t="s">
        <v>569</v>
      </c>
      <c r="C612" s="3" t="s">
        <v>643</v>
      </c>
      <c r="D612" s="4" t="s">
        <v>571</v>
      </c>
      <c r="F612" s="6" t="s">
        <v>445</v>
      </c>
      <c r="G612" s="7" t="str">
        <f aca="false">HYPERLINK(CONCATENATE("http://crfop.gdos.gov.pl/CRFOP/widok/viewpomnikprzyrody.jsf?fop=","PL.ZIPOP.1393.PP.1011062.1970"),"(kliknij lub Ctrl+kliknij)")</f>
        <v>(kliknij lub Ctrl+kliknij)</v>
      </c>
      <c r="H612" s="0" t="s">
        <v>792</v>
      </c>
    </row>
    <row r="613" customFormat="false" ht="12.8" hidden="false" customHeight="false" outlineLevel="0" collapsed="false">
      <c r="A613" s="1" t="s">
        <v>569</v>
      </c>
      <c r="C613" s="3" t="s">
        <v>643</v>
      </c>
      <c r="D613" s="4" t="s">
        <v>571</v>
      </c>
      <c r="F613" s="6" t="s">
        <v>445</v>
      </c>
      <c r="G613" s="7" t="str">
        <f aca="false">HYPERLINK(CONCATENATE("http://crfop.gdos.gov.pl/CRFOP/widok/viewpomnikprzyrody.jsf?fop=","PL.ZIPOP.1393.PP.1011062.1971"),"(kliknij lub Ctrl+kliknij)")</f>
        <v>(kliknij lub Ctrl+kliknij)</v>
      </c>
      <c r="H613" s="0" t="s">
        <v>792</v>
      </c>
    </row>
    <row r="614" customFormat="false" ht="12.8" hidden="false" customHeight="false" outlineLevel="0" collapsed="false">
      <c r="A614" s="1" t="s">
        <v>569</v>
      </c>
      <c r="C614" s="3" t="s">
        <v>584</v>
      </c>
      <c r="D614" s="4" t="s">
        <v>571</v>
      </c>
      <c r="F614" s="6" t="s">
        <v>779</v>
      </c>
      <c r="G614" s="7" t="str">
        <f aca="false">HYPERLINK(CONCATENATE("http://crfop.gdos.gov.pl/CRFOP/widok/viewpomnikprzyrody.jsf?fop=","PL.ZIPOP.1393.PP.1011062.1972"),"(kliknij lub Ctrl+kliknij)")</f>
        <v>(kliknij lub Ctrl+kliknij)</v>
      </c>
      <c r="H614" s="0" t="s">
        <v>792</v>
      </c>
    </row>
    <row r="615" customFormat="false" ht="12.8" hidden="false" customHeight="false" outlineLevel="0" collapsed="false">
      <c r="A615" s="1" t="s">
        <v>569</v>
      </c>
      <c r="C615" s="3" t="s">
        <v>584</v>
      </c>
      <c r="D615" s="4" t="s">
        <v>571</v>
      </c>
      <c r="F615" s="6" t="s">
        <v>779</v>
      </c>
      <c r="G615" s="7" t="str">
        <f aca="false">HYPERLINK(CONCATENATE("http://crfop.gdos.gov.pl/CRFOP/widok/viewpomnikprzyrody.jsf?fop=","PL.ZIPOP.1393.PP.1011062.1973"),"(kliknij lub Ctrl+kliknij)")</f>
        <v>(kliknij lub Ctrl+kliknij)</v>
      </c>
      <c r="H615" s="0" t="s">
        <v>792</v>
      </c>
    </row>
    <row r="616" customFormat="false" ht="12.8" hidden="false" customHeight="false" outlineLevel="0" collapsed="false">
      <c r="A616" s="1" t="s">
        <v>569</v>
      </c>
      <c r="C616" s="3" t="s">
        <v>584</v>
      </c>
      <c r="D616" s="4" t="s">
        <v>571</v>
      </c>
      <c r="F616" s="6" t="s">
        <v>779</v>
      </c>
      <c r="G616" s="7" t="str">
        <f aca="false">HYPERLINK(CONCATENATE("http://crfop.gdos.gov.pl/CRFOP/widok/viewpomnikprzyrody.jsf?fop=","PL.ZIPOP.1393.PP.1011062.1974"),"(kliknij lub Ctrl+kliknij)")</f>
        <v>(kliknij lub Ctrl+kliknij)</v>
      </c>
      <c r="H616" s="0" t="s">
        <v>792</v>
      </c>
    </row>
    <row r="617" customFormat="false" ht="12.8" hidden="false" customHeight="false" outlineLevel="0" collapsed="false">
      <c r="A617" s="1" t="s">
        <v>569</v>
      </c>
      <c r="C617" s="3" t="s">
        <v>584</v>
      </c>
      <c r="D617" s="4" t="s">
        <v>571</v>
      </c>
      <c r="F617" s="6" t="s">
        <v>779</v>
      </c>
      <c r="G617" s="7" t="str">
        <f aca="false">HYPERLINK(CONCATENATE("http://crfop.gdos.gov.pl/CRFOP/widok/viewpomnikprzyrody.jsf?fop=","PL.ZIPOP.1393.PP.1011062.1975"),"(kliknij lub Ctrl+kliknij)")</f>
        <v>(kliknij lub Ctrl+kliknij)</v>
      </c>
      <c r="H617" s="0" t="s">
        <v>792</v>
      </c>
    </row>
    <row r="618" customFormat="false" ht="12.8" hidden="false" customHeight="false" outlineLevel="0" collapsed="false">
      <c r="A618" s="1" t="s">
        <v>569</v>
      </c>
      <c r="C618" s="3" t="s">
        <v>584</v>
      </c>
      <c r="D618" s="4" t="s">
        <v>571</v>
      </c>
      <c r="F618" s="6" t="s">
        <v>779</v>
      </c>
      <c r="G618" s="7" t="str">
        <f aca="false">HYPERLINK(CONCATENATE("http://crfop.gdos.gov.pl/CRFOP/widok/viewpomnikprzyrody.jsf?fop=","PL.ZIPOP.1393.PP.1011062.1976"),"(kliknij lub Ctrl+kliknij)")</f>
        <v>(kliknij lub Ctrl+kliknij)</v>
      </c>
      <c r="H618" s="0" t="s">
        <v>792</v>
      </c>
    </row>
    <row r="619" customFormat="false" ht="12.8" hidden="false" customHeight="false" outlineLevel="0" collapsed="false">
      <c r="A619" s="1" t="s">
        <v>569</v>
      </c>
      <c r="C619" s="3" t="s">
        <v>584</v>
      </c>
      <c r="D619" s="4" t="s">
        <v>571</v>
      </c>
      <c r="F619" s="6" t="s">
        <v>779</v>
      </c>
      <c r="G619" s="7" t="str">
        <f aca="false">HYPERLINK(CONCATENATE("http://crfop.gdos.gov.pl/CRFOP/widok/viewpomnikprzyrody.jsf?fop=","PL.ZIPOP.1393.PP.1011062.1977"),"(kliknij lub Ctrl+kliknij)")</f>
        <v>(kliknij lub Ctrl+kliknij)</v>
      </c>
      <c r="H619" s="0" t="s">
        <v>792</v>
      </c>
    </row>
    <row r="620" customFormat="false" ht="12.8" hidden="false" customHeight="false" outlineLevel="0" collapsed="false">
      <c r="A620" s="1" t="s">
        <v>569</v>
      </c>
      <c r="C620" s="3" t="s">
        <v>584</v>
      </c>
      <c r="D620" s="4" t="s">
        <v>571</v>
      </c>
      <c r="F620" s="6" t="s">
        <v>779</v>
      </c>
      <c r="G620" s="7" t="str">
        <f aca="false">HYPERLINK(CONCATENATE("http://crfop.gdos.gov.pl/CRFOP/widok/viewpomnikprzyrody.jsf?fop=","PL.ZIPOP.1393.PP.1011062.1978"),"(kliknij lub Ctrl+kliknij)")</f>
        <v>(kliknij lub Ctrl+kliknij)</v>
      </c>
      <c r="H620" s="0" t="s">
        <v>792</v>
      </c>
    </row>
    <row r="621" customFormat="false" ht="12.8" hidden="false" customHeight="false" outlineLevel="0" collapsed="false">
      <c r="A621" s="1" t="s">
        <v>569</v>
      </c>
      <c r="C621" s="3" t="s">
        <v>584</v>
      </c>
      <c r="D621" s="4" t="s">
        <v>571</v>
      </c>
      <c r="F621" s="6" t="s">
        <v>779</v>
      </c>
      <c r="G621" s="7" t="str">
        <f aca="false">HYPERLINK(CONCATENATE("http://crfop.gdos.gov.pl/CRFOP/widok/viewpomnikprzyrody.jsf?fop=","PL.ZIPOP.1393.PP.1011062.1988"),"(kliknij lub Ctrl+kliknij)")</f>
        <v>(kliknij lub Ctrl+kliknij)</v>
      </c>
      <c r="H621" s="0" t="s">
        <v>792</v>
      </c>
    </row>
    <row r="622" customFormat="false" ht="12.8" hidden="false" customHeight="false" outlineLevel="0" collapsed="false">
      <c r="A622" s="1" t="s">
        <v>569</v>
      </c>
      <c r="C622" s="3" t="s">
        <v>591</v>
      </c>
      <c r="D622" s="4" t="s">
        <v>571</v>
      </c>
      <c r="F622" s="6" t="s">
        <v>592</v>
      </c>
      <c r="G622" s="7" t="str">
        <f aca="false">HYPERLINK(CONCATENATE("http://crfop.gdos.gov.pl/CRFOP/widok/viewpomnikprzyrody.jsf?fop=","PL.ZIPOP.1393.PP.1012011.1589"),"(kliknij lub Ctrl+kliknij)")</f>
        <v>(kliknij lub Ctrl+kliknij)</v>
      </c>
      <c r="H622" s="0" t="s">
        <v>793</v>
      </c>
    </row>
    <row r="623" customFormat="false" ht="12.8" hidden="false" customHeight="false" outlineLevel="0" collapsed="false">
      <c r="A623" s="1" t="s">
        <v>569</v>
      </c>
      <c r="C623" s="3" t="s">
        <v>591</v>
      </c>
      <c r="D623" s="4" t="s">
        <v>571</v>
      </c>
      <c r="F623" s="6" t="s">
        <v>592</v>
      </c>
      <c r="G623" s="7" t="str">
        <f aca="false">HYPERLINK(CONCATENATE("http://crfop.gdos.gov.pl/CRFOP/widok/viewpomnikprzyrody.jsf?fop=","PL.ZIPOP.1393.PP.1012011.1590"),"(kliknij lub Ctrl+kliknij)")</f>
        <v>(kliknij lub Ctrl+kliknij)</v>
      </c>
      <c r="H623" s="0" t="s">
        <v>793</v>
      </c>
    </row>
    <row r="624" customFormat="false" ht="12.8" hidden="false" customHeight="false" outlineLevel="0" collapsed="false">
      <c r="A624" s="1" t="s">
        <v>569</v>
      </c>
      <c r="C624" s="3" t="s">
        <v>591</v>
      </c>
      <c r="D624" s="4" t="s">
        <v>571</v>
      </c>
      <c r="F624" s="6" t="s">
        <v>592</v>
      </c>
      <c r="G624" s="7" t="str">
        <f aca="false">HYPERLINK(CONCATENATE("http://crfop.gdos.gov.pl/CRFOP/widok/viewpomnikprzyrody.jsf?fop=","PL.ZIPOP.1393.PP.1012011.1591"),"(kliknij lub Ctrl+kliknij)")</f>
        <v>(kliknij lub Ctrl+kliknij)</v>
      </c>
      <c r="H624" s="0" t="s">
        <v>793</v>
      </c>
    </row>
    <row r="625" customFormat="false" ht="12.8" hidden="false" customHeight="false" outlineLevel="0" collapsed="false">
      <c r="A625" s="1" t="s">
        <v>569</v>
      </c>
      <c r="C625" s="3" t="s">
        <v>591</v>
      </c>
      <c r="D625" s="4" t="s">
        <v>571</v>
      </c>
      <c r="F625" s="6" t="s">
        <v>592</v>
      </c>
      <c r="G625" s="7" t="str">
        <f aca="false">HYPERLINK(CONCATENATE("http://crfop.gdos.gov.pl/CRFOP/widok/viewpomnikprzyrody.jsf?fop=","PL.ZIPOP.1393.PP.1012011.1592"),"(kliknij lub Ctrl+kliknij)")</f>
        <v>(kliknij lub Ctrl+kliknij)</v>
      </c>
      <c r="H625" s="0" t="s">
        <v>793</v>
      </c>
    </row>
    <row r="626" customFormat="false" ht="12.8" hidden="false" customHeight="false" outlineLevel="0" collapsed="false">
      <c r="A626" s="1" t="s">
        <v>569</v>
      </c>
      <c r="C626" s="3" t="s">
        <v>570</v>
      </c>
      <c r="D626" s="4" t="s">
        <v>571</v>
      </c>
      <c r="F626" s="6" t="s">
        <v>572</v>
      </c>
      <c r="G626" s="7" t="str">
        <f aca="false">HYPERLINK(CONCATENATE("http://crfop.gdos.gov.pl/CRFOP/widok/viewpomnikprzyrody.jsf?fop=","PL.ZIPOP.1393.PP.1012022.1488"),"(kliknij lub Ctrl+kliknij)")</f>
        <v>(kliknij lub Ctrl+kliknij)</v>
      </c>
      <c r="H626" s="0" t="s">
        <v>794</v>
      </c>
    </row>
    <row r="627" customFormat="false" ht="12.8" hidden="false" customHeight="false" outlineLevel="0" collapsed="false">
      <c r="A627" s="1" t="s">
        <v>569</v>
      </c>
      <c r="C627" s="3" t="s">
        <v>795</v>
      </c>
      <c r="D627" s="4" t="s">
        <v>571</v>
      </c>
      <c r="F627" s="6" t="s">
        <v>796</v>
      </c>
      <c r="G627" s="7" t="str">
        <f aca="false">HYPERLINK(CONCATENATE("http://crfop.gdos.gov.pl/CRFOP/widok/viewpomnikprzyrody.jsf?fop=","PL.ZIPOP.1393.PP.1012032.1489"),"(kliknij lub Ctrl+kliknij)")</f>
        <v>(kliknij lub Ctrl+kliknij)</v>
      </c>
      <c r="H627" s="0" t="s">
        <v>797</v>
      </c>
    </row>
    <row r="628" customFormat="false" ht="12.8" hidden="false" customHeight="false" outlineLevel="0" collapsed="false">
      <c r="A628" s="1" t="s">
        <v>569</v>
      </c>
      <c r="C628" s="3" t="s">
        <v>795</v>
      </c>
      <c r="D628" s="4" t="s">
        <v>571</v>
      </c>
      <c r="F628" s="6" t="s">
        <v>796</v>
      </c>
      <c r="G628" s="7" t="str">
        <f aca="false">HYPERLINK(CONCATENATE("http://crfop.gdos.gov.pl/CRFOP/widok/viewpomnikprzyrody.jsf?fop=","PL.ZIPOP.1393.PP.1012032.1490"),"(kliknij lub Ctrl+kliknij)")</f>
        <v>(kliknij lub Ctrl+kliknij)</v>
      </c>
      <c r="H628" s="0" t="s">
        <v>797</v>
      </c>
    </row>
    <row r="629" customFormat="false" ht="12.8" hidden="false" customHeight="false" outlineLevel="0" collapsed="false">
      <c r="A629" s="1" t="s">
        <v>569</v>
      </c>
      <c r="C629" s="3" t="s">
        <v>795</v>
      </c>
      <c r="D629" s="4" t="s">
        <v>571</v>
      </c>
      <c r="F629" s="6" t="s">
        <v>796</v>
      </c>
      <c r="G629" s="7" t="str">
        <f aca="false">HYPERLINK(CONCATENATE("http://crfop.gdos.gov.pl/CRFOP/widok/viewpomnikprzyrody.jsf?fop=","PL.ZIPOP.1393.PP.1012032.1491"),"(kliknij lub Ctrl+kliknij)")</f>
        <v>(kliknij lub Ctrl+kliknij)</v>
      </c>
      <c r="H629" s="0" t="s">
        <v>797</v>
      </c>
    </row>
    <row r="630" customFormat="false" ht="12.8" hidden="false" customHeight="false" outlineLevel="0" collapsed="false">
      <c r="A630" s="1" t="s">
        <v>569</v>
      </c>
      <c r="C630" s="3" t="s">
        <v>795</v>
      </c>
      <c r="D630" s="4" t="s">
        <v>571</v>
      </c>
      <c r="F630" s="6" t="s">
        <v>796</v>
      </c>
      <c r="G630" s="7" t="str">
        <f aca="false">HYPERLINK(CONCATENATE("http://crfop.gdos.gov.pl/CRFOP/widok/viewpomnikprzyrody.jsf?fop=","PL.ZIPOP.1393.PP.1012032.1492"),"(kliknij lub Ctrl+kliknij)")</f>
        <v>(kliknij lub Ctrl+kliknij)</v>
      </c>
      <c r="H630" s="0" t="s">
        <v>797</v>
      </c>
    </row>
    <row r="631" customFormat="false" ht="12.8" hidden="false" customHeight="false" outlineLevel="0" collapsed="false">
      <c r="A631" s="1" t="s">
        <v>569</v>
      </c>
      <c r="B631" s="2" t="s">
        <v>798</v>
      </c>
      <c r="C631" s="3" t="s">
        <v>799</v>
      </c>
      <c r="D631" s="4" t="s">
        <v>571</v>
      </c>
      <c r="F631" s="6" t="s">
        <v>800</v>
      </c>
      <c r="G631" s="7" t="str">
        <f aca="false">HYPERLINK(CONCATENATE("http://crfop.gdos.gov.pl/CRFOP/widok/viewpomnikprzyrody.jsf?fop=","PL.ZIPOP.1393.PP.1012032.1493"),"(kliknij lub Ctrl+kliknij)")</f>
        <v>(kliknij lub Ctrl+kliknij)</v>
      </c>
      <c r="H631" s="0" t="s">
        <v>797</v>
      </c>
    </row>
    <row r="632" customFormat="false" ht="12.8" hidden="false" customHeight="false" outlineLevel="0" collapsed="false">
      <c r="A632" s="1" t="s">
        <v>569</v>
      </c>
      <c r="B632" s="2" t="s">
        <v>801</v>
      </c>
      <c r="C632" s="3" t="s">
        <v>802</v>
      </c>
      <c r="D632" s="4" t="s">
        <v>571</v>
      </c>
      <c r="F632" s="6" t="s">
        <v>803</v>
      </c>
      <c r="G632" s="7" t="str">
        <f aca="false">HYPERLINK(CONCATENATE("http://crfop.gdos.gov.pl/CRFOP/widok/viewpomnikprzyrody.jsf?fop=","PL.ZIPOP.1393.PP.1012032.1494"),"(kliknij lub Ctrl+kliknij)")</f>
        <v>(kliknij lub Ctrl+kliknij)</v>
      </c>
      <c r="H632" s="0" t="s">
        <v>797</v>
      </c>
    </row>
    <row r="633" customFormat="false" ht="12.8" hidden="false" customHeight="false" outlineLevel="0" collapsed="false">
      <c r="A633" s="1" t="s">
        <v>569</v>
      </c>
      <c r="B633" s="2" t="s">
        <v>804</v>
      </c>
      <c r="C633" s="3" t="s">
        <v>802</v>
      </c>
      <c r="D633" s="4" t="s">
        <v>571</v>
      </c>
      <c r="F633" s="6" t="s">
        <v>803</v>
      </c>
      <c r="G633" s="7" t="str">
        <f aca="false">HYPERLINK(CONCATENATE("http://crfop.gdos.gov.pl/CRFOP/widok/viewpomnikprzyrody.jsf?fop=","PL.ZIPOP.1393.PP.1012032.1495"),"(kliknij lub Ctrl+kliknij)")</f>
        <v>(kliknij lub Ctrl+kliknij)</v>
      </c>
      <c r="H633" s="0" t="s">
        <v>797</v>
      </c>
    </row>
    <row r="634" customFormat="false" ht="12.8" hidden="false" customHeight="false" outlineLevel="0" collapsed="false">
      <c r="A634" s="1" t="s">
        <v>569</v>
      </c>
      <c r="C634" s="3" t="s">
        <v>805</v>
      </c>
      <c r="F634" s="6" t="s">
        <v>806</v>
      </c>
      <c r="G634" s="7" t="str">
        <f aca="false">HYPERLINK(CONCATENATE("http://crfop.gdos.gov.pl/CRFOP/widok/viewpomnikprzyrody.jsf?fop=","PL.ZIPOP.1393.PP.1012042.1497"),"(kliknij lub Ctrl+kliknij)")</f>
        <v>(kliknij lub Ctrl+kliknij)</v>
      </c>
      <c r="H634" s="0" t="s">
        <v>807</v>
      </c>
    </row>
    <row r="635" customFormat="false" ht="12.8" hidden="false" customHeight="false" outlineLevel="0" collapsed="false">
      <c r="A635" s="1" t="s">
        <v>569</v>
      </c>
      <c r="C635" s="3" t="s">
        <v>574</v>
      </c>
      <c r="D635" s="4" t="s">
        <v>571</v>
      </c>
      <c r="F635" s="6" t="s">
        <v>575</v>
      </c>
      <c r="G635" s="7" t="str">
        <f aca="false">HYPERLINK(CONCATENATE("http://crfop.gdos.gov.pl/CRFOP/widok/viewpomnikprzyrody.jsf?fop=","PL.ZIPOP.1393.PP.1012053.1498"),"(kliknij lub Ctrl+kliknij)")</f>
        <v>(kliknij lub Ctrl+kliknij)</v>
      </c>
      <c r="H635" s="0" t="s">
        <v>808</v>
      </c>
    </row>
    <row r="636" customFormat="false" ht="12.8" hidden="false" customHeight="false" outlineLevel="0" collapsed="false">
      <c r="A636" s="1" t="s">
        <v>569</v>
      </c>
      <c r="C636" s="3" t="s">
        <v>570</v>
      </c>
      <c r="D636" s="4" t="s">
        <v>571</v>
      </c>
      <c r="F636" s="6" t="s">
        <v>572</v>
      </c>
      <c r="G636" s="7" t="str">
        <f aca="false">HYPERLINK(CONCATENATE("http://crfop.gdos.gov.pl/CRFOP/widok/viewpomnikprzyrody.jsf?fop=","PL.ZIPOP.1393.PP.1012053.1502"),"(kliknij lub Ctrl+kliknij)")</f>
        <v>(kliknij lub Ctrl+kliknij)</v>
      </c>
      <c r="H636" s="0" t="s">
        <v>808</v>
      </c>
    </row>
    <row r="637" customFormat="false" ht="12.8" hidden="false" customHeight="false" outlineLevel="0" collapsed="false">
      <c r="A637" s="1" t="s">
        <v>569</v>
      </c>
      <c r="C637" s="3" t="s">
        <v>809</v>
      </c>
      <c r="D637" s="4" t="s">
        <v>571</v>
      </c>
      <c r="F637" s="6" t="s">
        <v>810</v>
      </c>
      <c r="G637" s="7" t="str">
        <f aca="false">HYPERLINK(CONCATENATE("http://crfop.gdos.gov.pl/CRFOP/widok/viewpomnikprzyrody.jsf?fop=","PL.ZIPOP.1393.PP.1012053.1503"),"(kliknij lub Ctrl+kliknij)")</f>
        <v>(kliknij lub Ctrl+kliknij)</v>
      </c>
      <c r="H637" s="0" t="s">
        <v>808</v>
      </c>
    </row>
    <row r="638" customFormat="false" ht="12.8" hidden="false" customHeight="false" outlineLevel="0" collapsed="false">
      <c r="A638" s="1" t="s">
        <v>569</v>
      </c>
      <c r="C638" s="3" t="s">
        <v>570</v>
      </c>
      <c r="D638" s="4" t="s">
        <v>571</v>
      </c>
      <c r="F638" s="6" t="s">
        <v>572</v>
      </c>
      <c r="G638" s="7" t="str">
        <f aca="false">HYPERLINK(CONCATENATE("http://crfop.gdos.gov.pl/CRFOP/widok/viewpomnikprzyrody.jsf?fop=","PL.ZIPOP.1393.PP.1012062.1504"),"(kliknij lub Ctrl+kliknij)")</f>
        <v>(kliknij lub Ctrl+kliknij)</v>
      </c>
      <c r="H638" s="0" t="s">
        <v>193</v>
      </c>
    </row>
    <row r="639" customFormat="false" ht="12.8" hidden="false" customHeight="false" outlineLevel="0" collapsed="false">
      <c r="A639" s="1" t="s">
        <v>569</v>
      </c>
      <c r="C639" s="3" t="s">
        <v>574</v>
      </c>
      <c r="D639" s="4" t="s">
        <v>571</v>
      </c>
      <c r="F639" s="6" t="s">
        <v>575</v>
      </c>
      <c r="G639" s="7" t="str">
        <f aca="false">HYPERLINK(CONCATENATE("http://crfop.gdos.gov.pl/CRFOP/widok/viewpomnikprzyrody.jsf?fop=","PL.ZIPOP.1393.PP.1012062.1505"),"(kliknij lub Ctrl+kliknij)")</f>
        <v>(kliknij lub Ctrl+kliknij)</v>
      </c>
      <c r="H639" s="0" t="s">
        <v>193</v>
      </c>
    </row>
    <row r="640" customFormat="false" ht="12.8" hidden="false" customHeight="false" outlineLevel="0" collapsed="false">
      <c r="A640" s="1" t="s">
        <v>569</v>
      </c>
      <c r="C640" s="3" t="s">
        <v>570</v>
      </c>
      <c r="D640" s="4" t="s">
        <v>571</v>
      </c>
      <c r="F640" s="6" t="s">
        <v>572</v>
      </c>
      <c r="G640" s="7" t="str">
        <f aca="false">HYPERLINK(CONCATENATE("http://crfop.gdos.gov.pl/CRFOP/widok/viewpomnikprzyrody.jsf?fop=","PL.ZIPOP.1393.PP.1012062.1506"),"(kliknij lub Ctrl+kliknij)")</f>
        <v>(kliknij lub Ctrl+kliknij)</v>
      </c>
      <c r="H640" s="0" t="s">
        <v>193</v>
      </c>
    </row>
    <row r="641" customFormat="false" ht="12.8" hidden="false" customHeight="false" outlineLevel="0" collapsed="false">
      <c r="A641" s="1" t="s">
        <v>569</v>
      </c>
      <c r="C641" s="3" t="s">
        <v>570</v>
      </c>
      <c r="D641" s="4" t="s">
        <v>571</v>
      </c>
      <c r="F641" s="6" t="s">
        <v>572</v>
      </c>
      <c r="G641" s="7" t="str">
        <f aca="false">HYPERLINK(CONCATENATE("http://crfop.gdos.gov.pl/CRFOP/widok/viewpomnikprzyrody.jsf?fop=","PL.ZIPOP.1393.PP.1012062.1507"),"(kliknij lub Ctrl+kliknij)")</f>
        <v>(kliknij lub Ctrl+kliknij)</v>
      </c>
      <c r="H641" s="0" t="s">
        <v>193</v>
      </c>
    </row>
    <row r="642" customFormat="false" ht="12.8" hidden="false" customHeight="false" outlineLevel="0" collapsed="false">
      <c r="A642" s="1" t="s">
        <v>569</v>
      </c>
      <c r="B642" s="2" t="s">
        <v>811</v>
      </c>
      <c r="C642" s="3" t="s">
        <v>582</v>
      </c>
      <c r="D642" s="4" t="s">
        <v>571</v>
      </c>
      <c r="F642" s="6" t="s">
        <v>774</v>
      </c>
      <c r="G642" s="7" t="str">
        <f aca="false">HYPERLINK(CONCATENATE("http://crfop.gdos.gov.pl/CRFOP/widok/viewpomnikprzyrody.jsf?fop=","PL.ZIPOP.1393.PP.1012062.1508"),"(kliknij lub Ctrl+kliknij)")</f>
        <v>(kliknij lub Ctrl+kliknij)</v>
      </c>
      <c r="H642" s="0" t="s">
        <v>193</v>
      </c>
    </row>
    <row r="643" customFormat="false" ht="12.8" hidden="false" customHeight="false" outlineLevel="0" collapsed="false">
      <c r="A643" s="1" t="s">
        <v>569</v>
      </c>
      <c r="B643" s="2" t="s">
        <v>812</v>
      </c>
      <c r="C643" s="3" t="s">
        <v>582</v>
      </c>
      <c r="D643" s="4" t="s">
        <v>571</v>
      </c>
      <c r="F643" s="6" t="s">
        <v>774</v>
      </c>
      <c r="G643" s="7" t="str">
        <f aca="false">HYPERLINK(CONCATENATE("http://crfop.gdos.gov.pl/CRFOP/widok/viewpomnikprzyrody.jsf?fop=","PL.ZIPOP.1393.PP.1012102.1513"),"(kliknij lub Ctrl+kliknij)")</f>
        <v>(kliknij lub Ctrl+kliknij)</v>
      </c>
      <c r="H643" s="0" t="s">
        <v>813</v>
      </c>
    </row>
    <row r="644" customFormat="false" ht="12.8" hidden="false" customHeight="false" outlineLevel="0" collapsed="false">
      <c r="A644" s="1" t="s">
        <v>569</v>
      </c>
      <c r="C644" s="3" t="s">
        <v>574</v>
      </c>
      <c r="D644" s="4" t="s">
        <v>571</v>
      </c>
      <c r="F644" s="6" t="s">
        <v>575</v>
      </c>
      <c r="G644" s="7" t="str">
        <f aca="false">HYPERLINK(CONCATENATE("http://crfop.gdos.gov.pl/CRFOP/widok/viewpomnikprzyrody.jsf?fop=","PL.ZIPOP.1393.PP.1012102.1514"),"(kliknij lub Ctrl+kliknij)")</f>
        <v>(kliknij lub Ctrl+kliknij)</v>
      </c>
      <c r="H644" s="0" t="s">
        <v>813</v>
      </c>
    </row>
    <row r="645" customFormat="false" ht="12.8" hidden="false" customHeight="false" outlineLevel="0" collapsed="false">
      <c r="A645" s="1" t="s">
        <v>569</v>
      </c>
      <c r="C645" s="3" t="s">
        <v>814</v>
      </c>
      <c r="D645" s="4" t="s">
        <v>571</v>
      </c>
      <c r="F645" s="6" t="s">
        <v>815</v>
      </c>
      <c r="G645" s="7" t="str">
        <f aca="false">HYPERLINK(CONCATENATE("http://crfop.gdos.gov.pl/CRFOP/widok/viewpomnikprzyrody.jsf?fop=","PL.ZIPOP.1393.PP.1012113.1515"),"(kliknij lub Ctrl+kliknij)")</f>
        <v>(kliknij lub Ctrl+kliknij)</v>
      </c>
      <c r="H645" s="0" t="s">
        <v>816</v>
      </c>
    </row>
    <row r="646" customFormat="false" ht="12.8" hidden="false" customHeight="false" outlineLevel="0" collapsed="false">
      <c r="A646" s="1" t="s">
        <v>569</v>
      </c>
      <c r="C646" s="3" t="s">
        <v>814</v>
      </c>
      <c r="D646" s="4" t="s">
        <v>571</v>
      </c>
      <c r="F646" s="6" t="s">
        <v>815</v>
      </c>
      <c r="G646" s="7" t="str">
        <f aca="false">HYPERLINK(CONCATENATE("http://crfop.gdos.gov.pl/CRFOP/widok/viewpomnikprzyrody.jsf?fop=","PL.ZIPOP.1393.PP.1012113.1518"),"(kliknij lub Ctrl+kliknij)")</f>
        <v>(kliknij lub Ctrl+kliknij)</v>
      </c>
      <c r="H646" s="0" t="s">
        <v>816</v>
      </c>
    </row>
    <row r="647" customFormat="false" ht="12.8" hidden="false" customHeight="false" outlineLevel="0" collapsed="false">
      <c r="A647" s="1" t="s">
        <v>569</v>
      </c>
      <c r="C647" s="3" t="s">
        <v>814</v>
      </c>
      <c r="D647" s="4" t="s">
        <v>571</v>
      </c>
      <c r="F647" s="6" t="s">
        <v>815</v>
      </c>
      <c r="G647" s="7" t="str">
        <f aca="false">HYPERLINK(CONCATENATE("http://crfop.gdos.gov.pl/CRFOP/widok/viewpomnikprzyrody.jsf?fop=","PL.ZIPOP.1393.PP.1012113.1519"),"(kliknij lub Ctrl+kliknij)")</f>
        <v>(kliknij lub Ctrl+kliknij)</v>
      </c>
      <c r="H647" s="0" t="s">
        <v>816</v>
      </c>
    </row>
    <row r="648" customFormat="false" ht="12.8" hidden="false" customHeight="false" outlineLevel="0" collapsed="false">
      <c r="A648" s="1" t="s">
        <v>569</v>
      </c>
      <c r="C648" s="3" t="s">
        <v>814</v>
      </c>
      <c r="D648" s="4" t="s">
        <v>571</v>
      </c>
      <c r="F648" s="6" t="s">
        <v>815</v>
      </c>
      <c r="G648" s="7" t="str">
        <f aca="false">HYPERLINK(CONCATENATE("http://crfop.gdos.gov.pl/CRFOP/widok/viewpomnikprzyrody.jsf?fop=","PL.ZIPOP.1393.PP.1012113.1520"),"(kliknij lub Ctrl+kliknij)")</f>
        <v>(kliknij lub Ctrl+kliknij)</v>
      </c>
      <c r="H648" s="0" t="s">
        <v>816</v>
      </c>
    </row>
    <row r="649" customFormat="false" ht="12.8" hidden="false" customHeight="false" outlineLevel="0" collapsed="false">
      <c r="A649" s="1" t="s">
        <v>569</v>
      </c>
      <c r="C649" s="3" t="s">
        <v>814</v>
      </c>
      <c r="D649" s="4" t="s">
        <v>571</v>
      </c>
      <c r="F649" s="6" t="s">
        <v>815</v>
      </c>
      <c r="G649" s="7" t="str">
        <f aca="false">HYPERLINK(CONCATENATE("http://crfop.gdos.gov.pl/CRFOP/widok/viewpomnikprzyrody.jsf?fop=","PL.ZIPOP.1393.PP.1012113.1521"),"(kliknij lub Ctrl+kliknij)")</f>
        <v>(kliknij lub Ctrl+kliknij)</v>
      </c>
      <c r="H649" s="0" t="s">
        <v>816</v>
      </c>
    </row>
    <row r="650" customFormat="false" ht="12.8" hidden="false" customHeight="false" outlineLevel="0" collapsed="false">
      <c r="A650" s="1" t="s">
        <v>569</v>
      </c>
      <c r="C650" s="3" t="s">
        <v>814</v>
      </c>
      <c r="D650" s="4" t="s">
        <v>571</v>
      </c>
      <c r="F650" s="6" t="s">
        <v>815</v>
      </c>
      <c r="G650" s="7" t="str">
        <f aca="false">HYPERLINK(CONCATENATE("http://crfop.gdos.gov.pl/CRFOP/widok/viewpomnikprzyrody.jsf?fop=","PL.ZIPOP.1393.PP.1012113.1522"),"(kliknij lub Ctrl+kliknij)")</f>
        <v>(kliknij lub Ctrl+kliknij)</v>
      </c>
      <c r="H650" s="0" t="s">
        <v>816</v>
      </c>
    </row>
    <row r="651" customFormat="false" ht="12.8" hidden="false" customHeight="false" outlineLevel="0" collapsed="false">
      <c r="A651" s="1" t="s">
        <v>569</v>
      </c>
      <c r="C651" s="3" t="s">
        <v>814</v>
      </c>
      <c r="D651" s="4" t="s">
        <v>571</v>
      </c>
      <c r="F651" s="6" t="s">
        <v>815</v>
      </c>
      <c r="G651" s="7" t="str">
        <f aca="false">HYPERLINK(CONCATENATE("http://crfop.gdos.gov.pl/CRFOP/widok/viewpomnikprzyrody.jsf?fop=","PL.ZIPOP.1393.PP.1012113.1523"),"(kliknij lub Ctrl+kliknij)")</f>
        <v>(kliknij lub Ctrl+kliknij)</v>
      </c>
      <c r="H651" s="0" t="s">
        <v>816</v>
      </c>
    </row>
    <row r="652" customFormat="false" ht="12.8" hidden="false" customHeight="false" outlineLevel="0" collapsed="false">
      <c r="A652" s="1" t="s">
        <v>569</v>
      </c>
      <c r="C652" s="3" t="s">
        <v>814</v>
      </c>
      <c r="D652" s="4" t="s">
        <v>571</v>
      </c>
      <c r="F652" s="6" t="s">
        <v>815</v>
      </c>
      <c r="G652" s="7" t="str">
        <f aca="false">HYPERLINK(CONCATENATE("http://crfop.gdos.gov.pl/CRFOP/widok/viewpomnikprzyrody.jsf?fop=","PL.ZIPOP.1393.PP.1012113.1524"),"(kliknij lub Ctrl+kliknij)")</f>
        <v>(kliknij lub Ctrl+kliknij)</v>
      </c>
      <c r="H652" s="0" t="s">
        <v>816</v>
      </c>
    </row>
    <row r="653" customFormat="false" ht="12.8" hidden="false" customHeight="false" outlineLevel="0" collapsed="false">
      <c r="A653" s="1" t="s">
        <v>569</v>
      </c>
      <c r="C653" s="3" t="s">
        <v>814</v>
      </c>
      <c r="D653" s="4" t="s">
        <v>571</v>
      </c>
      <c r="F653" s="6" t="s">
        <v>815</v>
      </c>
      <c r="G653" s="7" t="str">
        <f aca="false">HYPERLINK(CONCATENATE("http://crfop.gdos.gov.pl/CRFOP/widok/viewpomnikprzyrody.jsf?fop=","PL.ZIPOP.1393.PP.1012113.1525"),"(kliknij lub Ctrl+kliknij)")</f>
        <v>(kliknij lub Ctrl+kliknij)</v>
      </c>
      <c r="H653" s="0" t="s">
        <v>816</v>
      </c>
    </row>
    <row r="654" customFormat="false" ht="12.8" hidden="false" customHeight="false" outlineLevel="0" collapsed="false">
      <c r="A654" s="1" t="s">
        <v>569</v>
      </c>
      <c r="C654" s="3" t="s">
        <v>814</v>
      </c>
      <c r="D654" s="4" t="s">
        <v>571</v>
      </c>
      <c r="F654" s="6" t="s">
        <v>815</v>
      </c>
      <c r="G654" s="7" t="str">
        <f aca="false">HYPERLINK(CONCATENATE("http://crfop.gdos.gov.pl/CRFOP/widok/viewpomnikprzyrody.jsf?fop=","PL.ZIPOP.1393.PP.1012113.1526"),"(kliknij lub Ctrl+kliknij)")</f>
        <v>(kliknij lub Ctrl+kliknij)</v>
      </c>
      <c r="H654" s="0" t="s">
        <v>816</v>
      </c>
    </row>
    <row r="655" customFormat="false" ht="12.8" hidden="false" customHeight="false" outlineLevel="0" collapsed="false">
      <c r="A655" s="1" t="s">
        <v>569</v>
      </c>
      <c r="C655" s="3" t="s">
        <v>814</v>
      </c>
      <c r="D655" s="4" t="s">
        <v>571</v>
      </c>
      <c r="F655" s="6" t="s">
        <v>815</v>
      </c>
      <c r="G655" s="7" t="str">
        <f aca="false">HYPERLINK(CONCATENATE("http://crfop.gdos.gov.pl/CRFOP/widok/viewpomnikprzyrody.jsf?fop=","PL.ZIPOP.1393.PP.1012113.1527"),"(kliknij lub Ctrl+kliknij)")</f>
        <v>(kliknij lub Ctrl+kliknij)</v>
      </c>
      <c r="H655" s="0" t="s">
        <v>816</v>
      </c>
    </row>
    <row r="656" customFormat="false" ht="12.8" hidden="false" customHeight="false" outlineLevel="0" collapsed="false">
      <c r="A656" s="1" t="s">
        <v>569</v>
      </c>
      <c r="C656" s="3" t="s">
        <v>814</v>
      </c>
      <c r="D656" s="4" t="s">
        <v>571</v>
      </c>
      <c r="F656" s="6" t="s">
        <v>815</v>
      </c>
      <c r="G656" s="7" t="str">
        <f aca="false">HYPERLINK(CONCATENATE("http://crfop.gdos.gov.pl/CRFOP/widok/viewpomnikprzyrody.jsf?fop=","PL.ZIPOP.1393.PP.1012113.1528"),"(kliknij lub Ctrl+kliknij)")</f>
        <v>(kliknij lub Ctrl+kliknij)</v>
      </c>
      <c r="H656" s="0" t="s">
        <v>816</v>
      </c>
    </row>
    <row r="657" customFormat="false" ht="12.8" hidden="false" customHeight="false" outlineLevel="0" collapsed="false">
      <c r="A657" s="1" t="s">
        <v>569</v>
      </c>
      <c r="C657" s="3" t="s">
        <v>814</v>
      </c>
      <c r="D657" s="4" t="s">
        <v>571</v>
      </c>
      <c r="F657" s="6" t="s">
        <v>815</v>
      </c>
      <c r="G657" s="7" t="str">
        <f aca="false">HYPERLINK(CONCATENATE("http://crfop.gdos.gov.pl/CRFOP/widok/viewpomnikprzyrody.jsf?fop=","PL.ZIPOP.1393.PP.1012113.1529"),"(kliknij lub Ctrl+kliknij)")</f>
        <v>(kliknij lub Ctrl+kliknij)</v>
      </c>
      <c r="H657" s="0" t="s">
        <v>816</v>
      </c>
    </row>
    <row r="658" customFormat="false" ht="12.8" hidden="false" customHeight="false" outlineLevel="0" collapsed="false">
      <c r="A658" s="1" t="s">
        <v>569</v>
      </c>
      <c r="C658" s="3" t="s">
        <v>814</v>
      </c>
      <c r="D658" s="4" t="s">
        <v>571</v>
      </c>
      <c r="F658" s="6" t="s">
        <v>815</v>
      </c>
      <c r="G658" s="7" t="str">
        <f aca="false">HYPERLINK(CONCATENATE("http://crfop.gdos.gov.pl/CRFOP/widok/viewpomnikprzyrody.jsf?fop=","PL.ZIPOP.1393.PP.1012113.1530"),"(kliknij lub Ctrl+kliknij)")</f>
        <v>(kliknij lub Ctrl+kliknij)</v>
      </c>
      <c r="H658" s="0" t="s">
        <v>816</v>
      </c>
    </row>
    <row r="659" customFormat="false" ht="12.8" hidden="false" customHeight="false" outlineLevel="0" collapsed="false">
      <c r="A659" s="1" t="s">
        <v>569</v>
      </c>
      <c r="C659" s="3" t="s">
        <v>814</v>
      </c>
      <c r="D659" s="4" t="s">
        <v>571</v>
      </c>
      <c r="F659" s="6" t="s">
        <v>815</v>
      </c>
      <c r="G659" s="7" t="str">
        <f aca="false">HYPERLINK(CONCATENATE("http://crfop.gdos.gov.pl/CRFOP/widok/viewpomnikprzyrody.jsf?fop=","PL.ZIPOP.1393.PP.1012113.1531"),"(kliknij lub Ctrl+kliknij)")</f>
        <v>(kliknij lub Ctrl+kliknij)</v>
      </c>
      <c r="H659" s="0" t="s">
        <v>816</v>
      </c>
    </row>
    <row r="660" customFormat="false" ht="12.8" hidden="false" customHeight="false" outlineLevel="0" collapsed="false">
      <c r="A660" s="1" t="s">
        <v>569</v>
      </c>
      <c r="C660" s="3" t="s">
        <v>814</v>
      </c>
      <c r="D660" s="4" t="s">
        <v>571</v>
      </c>
      <c r="F660" s="6" t="s">
        <v>815</v>
      </c>
      <c r="G660" s="7" t="str">
        <f aca="false">HYPERLINK(CONCATENATE("http://crfop.gdos.gov.pl/CRFOP/widok/viewpomnikprzyrody.jsf?fop=","PL.ZIPOP.1393.PP.1012113.1532"),"(kliknij lub Ctrl+kliknij)")</f>
        <v>(kliknij lub Ctrl+kliknij)</v>
      </c>
      <c r="H660" s="0" t="s">
        <v>816</v>
      </c>
    </row>
    <row r="661" customFormat="false" ht="12.8" hidden="false" customHeight="false" outlineLevel="0" collapsed="false">
      <c r="A661" s="1" t="s">
        <v>569</v>
      </c>
      <c r="C661" s="3" t="s">
        <v>814</v>
      </c>
      <c r="D661" s="4" t="s">
        <v>571</v>
      </c>
      <c r="F661" s="6" t="s">
        <v>815</v>
      </c>
      <c r="G661" s="7" t="str">
        <f aca="false">HYPERLINK(CONCATENATE("http://crfop.gdos.gov.pl/CRFOP/widok/viewpomnikprzyrody.jsf?fop=","PL.ZIPOP.1393.PP.1012113.1533"),"(kliknij lub Ctrl+kliknij)")</f>
        <v>(kliknij lub Ctrl+kliknij)</v>
      </c>
      <c r="H661" s="0" t="s">
        <v>816</v>
      </c>
    </row>
    <row r="662" customFormat="false" ht="12.8" hidden="false" customHeight="false" outlineLevel="0" collapsed="false">
      <c r="A662" s="1" t="s">
        <v>569</v>
      </c>
      <c r="C662" s="3" t="s">
        <v>814</v>
      </c>
      <c r="D662" s="4" t="s">
        <v>571</v>
      </c>
      <c r="F662" s="6" t="s">
        <v>815</v>
      </c>
      <c r="G662" s="7" t="str">
        <f aca="false">HYPERLINK(CONCATENATE("http://crfop.gdos.gov.pl/CRFOP/widok/viewpomnikprzyrody.jsf?fop=","PL.ZIPOP.1393.PP.1012113.1534"),"(kliknij lub Ctrl+kliknij)")</f>
        <v>(kliknij lub Ctrl+kliknij)</v>
      </c>
      <c r="H662" s="0" t="s">
        <v>816</v>
      </c>
    </row>
    <row r="663" customFormat="false" ht="12.8" hidden="false" customHeight="false" outlineLevel="0" collapsed="false">
      <c r="A663" s="1" t="s">
        <v>569</v>
      </c>
      <c r="C663" s="3" t="s">
        <v>814</v>
      </c>
      <c r="D663" s="4" t="s">
        <v>571</v>
      </c>
      <c r="F663" s="6" t="s">
        <v>815</v>
      </c>
      <c r="G663" s="7" t="str">
        <f aca="false">HYPERLINK(CONCATENATE("http://crfop.gdos.gov.pl/CRFOP/widok/viewpomnikprzyrody.jsf?fop=","PL.ZIPOP.1393.PP.1012113.1535"),"(kliknij lub Ctrl+kliknij)")</f>
        <v>(kliknij lub Ctrl+kliknij)</v>
      </c>
      <c r="H663" s="0" t="s">
        <v>816</v>
      </c>
    </row>
    <row r="664" customFormat="false" ht="12.8" hidden="false" customHeight="false" outlineLevel="0" collapsed="false">
      <c r="A664" s="1" t="s">
        <v>569</v>
      </c>
      <c r="C664" s="3" t="s">
        <v>814</v>
      </c>
      <c r="D664" s="4" t="s">
        <v>571</v>
      </c>
      <c r="F664" s="6" t="s">
        <v>815</v>
      </c>
      <c r="G664" s="7" t="str">
        <f aca="false">HYPERLINK(CONCATENATE("http://crfop.gdos.gov.pl/CRFOP/widok/viewpomnikprzyrody.jsf?fop=","PL.ZIPOP.1393.PP.1012113.1537"),"(kliknij lub Ctrl+kliknij)")</f>
        <v>(kliknij lub Ctrl+kliknij)</v>
      </c>
      <c r="H664" s="0" t="s">
        <v>816</v>
      </c>
    </row>
    <row r="665" customFormat="false" ht="12.8" hidden="false" customHeight="false" outlineLevel="0" collapsed="false">
      <c r="A665" s="1" t="s">
        <v>569</v>
      </c>
      <c r="C665" s="3" t="s">
        <v>814</v>
      </c>
      <c r="D665" s="4" t="s">
        <v>571</v>
      </c>
      <c r="F665" s="6" t="s">
        <v>815</v>
      </c>
      <c r="G665" s="7" t="str">
        <f aca="false">HYPERLINK(CONCATENATE("http://crfop.gdos.gov.pl/CRFOP/widok/viewpomnikprzyrody.jsf?fop=","PL.ZIPOP.1393.PP.1012113.1538"),"(kliknij lub Ctrl+kliknij)")</f>
        <v>(kliknij lub Ctrl+kliknij)</v>
      </c>
      <c r="H665" s="0" t="s">
        <v>816</v>
      </c>
    </row>
    <row r="666" customFormat="false" ht="12.8" hidden="false" customHeight="false" outlineLevel="0" collapsed="false">
      <c r="A666" s="1" t="s">
        <v>569</v>
      </c>
      <c r="C666" s="3" t="s">
        <v>814</v>
      </c>
      <c r="D666" s="4" t="s">
        <v>571</v>
      </c>
      <c r="F666" s="6" t="s">
        <v>815</v>
      </c>
      <c r="G666" s="7" t="str">
        <f aca="false">HYPERLINK(CONCATENATE("http://crfop.gdos.gov.pl/CRFOP/widok/viewpomnikprzyrody.jsf?fop=","PL.ZIPOP.1393.PP.1012113.1540"),"(kliknij lub Ctrl+kliknij)")</f>
        <v>(kliknij lub Ctrl+kliknij)</v>
      </c>
      <c r="H666" s="0" t="s">
        <v>816</v>
      </c>
    </row>
    <row r="667" customFormat="false" ht="12.8" hidden="false" customHeight="false" outlineLevel="0" collapsed="false">
      <c r="A667" s="1" t="s">
        <v>569</v>
      </c>
      <c r="C667" s="3" t="s">
        <v>574</v>
      </c>
      <c r="D667" s="4" t="s">
        <v>571</v>
      </c>
      <c r="F667" s="6" t="s">
        <v>575</v>
      </c>
      <c r="G667" s="7" t="str">
        <f aca="false">HYPERLINK(CONCATENATE("http://crfop.gdos.gov.pl/CRFOP/widok/viewpomnikprzyrody.jsf?fop=","PL.ZIPOP.1393.PP.1012113.1541"),"(kliknij lub Ctrl+kliknij)")</f>
        <v>(kliknij lub Ctrl+kliknij)</v>
      </c>
      <c r="H667" s="0" t="s">
        <v>816</v>
      </c>
    </row>
    <row r="668" customFormat="false" ht="12.8" hidden="false" customHeight="false" outlineLevel="0" collapsed="false">
      <c r="A668" s="1" t="s">
        <v>569</v>
      </c>
      <c r="C668" s="3" t="s">
        <v>574</v>
      </c>
      <c r="D668" s="4" t="s">
        <v>571</v>
      </c>
      <c r="F668" s="6" t="s">
        <v>575</v>
      </c>
      <c r="G668" s="7" t="str">
        <f aca="false">HYPERLINK(CONCATENATE("http://crfop.gdos.gov.pl/CRFOP/widok/viewpomnikprzyrody.jsf?fop=","PL.ZIPOP.1393.PP.1012113.1542"),"(kliknij lub Ctrl+kliknij)")</f>
        <v>(kliknij lub Ctrl+kliknij)</v>
      </c>
      <c r="H668" s="0" t="s">
        <v>816</v>
      </c>
    </row>
    <row r="669" customFormat="false" ht="12.8" hidden="false" customHeight="false" outlineLevel="0" collapsed="false">
      <c r="A669" s="1" t="s">
        <v>569</v>
      </c>
      <c r="C669" s="3" t="s">
        <v>574</v>
      </c>
      <c r="D669" s="4" t="s">
        <v>571</v>
      </c>
      <c r="F669" s="6" t="s">
        <v>575</v>
      </c>
      <c r="G669" s="7" t="str">
        <f aca="false">HYPERLINK(CONCATENATE("http://crfop.gdos.gov.pl/CRFOP/widok/viewpomnikprzyrody.jsf?fop=","PL.ZIPOP.1393.PP.1012113.1543"),"(kliknij lub Ctrl+kliknij)")</f>
        <v>(kliknij lub Ctrl+kliknij)</v>
      </c>
      <c r="H669" s="0" t="s">
        <v>816</v>
      </c>
    </row>
    <row r="670" customFormat="false" ht="12.8" hidden="false" customHeight="false" outlineLevel="0" collapsed="false">
      <c r="A670" s="1" t="s">
        <v>569</v>
      </c>
      <c r="C670" s="3" t="s">
        <v>574</v>
      </c>
      <c r="D670" s="4" t="s">
        <v>571</v>
      </c>
      <c r="F670" s="6" t="s">
        <v>575</v>
      </c>
      <c r="G670" s="7" t="str">
        <f aca="false">HYPERLINK(CONCATENATE("http://crfop.gdos.gov.pl/CRFOP/widok/viewpomnikprzyrody.jsf?fop=","PL.ZIPOP.1393.PP.1012113.1544"),"(kliknij lub Ctrl+kliknij)")</f>
        <v>(kliknij lub Ctrl+kliknij)</v>
      </c>
      <c r="H670" s="0" t="s">
        <v>816</v>
      </c>
    </row>
    <row r="671" customFormat="false" ht="12.8" hidden="false" customHeight="false" outlineLevel="0" collapsed="false">
      <c r="A671" s="1" t="s">
        <v>569</v>
      </c>
      <c r="C671" s="3" t="s">
        <v>574</v>
      </c>
      <c r="D671" s="4" t="s">
        <v>571</v>
      </c>
      <c r="F671" s="6" t="s">
        <v>575</v>
      </c>
      <c r="G671" s="7" t="str">
        <f aca="false">HYPERLINK(CONCATENATE("http://crfop.gdos.gov.pl/CRFOP/widok/viewpomnikprzyrody.jsf?fop=","PL.ZIPOP.1393.PP.1012113.1545"),"(kliknij lub Ctrl+kliknij)")</f>
        <v>(kliknij lub Ctrl+kliknij)</v>
      </c>
      <c r="H671" s="0" t="s">
        <v>816</v>
      </c>
    </row>
    <row r="672" customFormat="false" ht="12.8" hidden="false" customHeight="false" outlineLevel="0" collapsed="false">
      <c r="A672" s="1" t="s">
        <v>569</v>
      </c>
      <c r="C672" s="3" t="s">
        <v>574</v>
      </c>
      <c r="D672" s="4" t="s">
        <v>571</v>
      </c>
      <c r="F672" s="6" t="s">
        <v>575</v>
      </c>
      <c r="G672" s="7" t="str">
        <f aca="false">HYPERLINK(CONCATENATE("http://crfop.gdos.gov.pl/CRFOP/widok/viewpomnikprzyrody.jsf?fop=","PL.ZIPOP.1393.PP.1012113.1546"),"(kliknij lub Ctrl+kliknij)")</f>
        <v>(kliknij lub Ctrl+kliknij)</v>
      </c>
      <c r="H672" s="0" t="s">
        <v>816</v>
      </c>
    </row>
    <row r="673" customFormat="false" ht="12.8" hidden="false" customHeight="false" outlineLevel="0" collapsed="false">
      <c r="A673" s="1" t="s">
        <v>569</v>
      </c>
      <c r="C673" s="3" t="s">
        <v>574</v>
      </c>
      <c r="D673" s="4" t="s">
        <v>571</v>
      </c>
      <c r="F673" s="6" t="s">
        <v>575</v>
      </c>
      <c r="G673" s="7" t="str">
        <f aca="false">HYPERLINK(CONCATENATE("http://crfop.gdos.gov.pl/CRFOP/widok/viewpomnikprzyrody.jsf?fop=","PL.ZIPOP.1393.PP.1012113.1551"),"(kliknij lub Ctrl+kliknij)")</f>
        <v>(kliknij lub Ctrl+kliknij)</v>
      </c>
      <c r="H673" s="0" t="s">
        <v>816</v>
      </c>
    </row>
    <row r="674" customFormat="false" ht="12.8" hidden="false" customHeight="false" outlineLevel="0" collapsed="false">
      <c r="A674" s="1" t="s">
        <v>569</v>
      </c>
      <c r="C674" s="3" t="s">
        <v>574</v>
      </c>
      <c r="D674" s="4" t="s">
        <v>571</v>
      </c>
      <c r="F674" s="6" t="s">
        <v>575</v>
      </c>
      <c r="G674" s="7" t="str">
        <f aca="false">HYPERLINK(CONCATENATE("http://crfop.gdos.gov.pl/CRFOP/widok/viewpomnikprzyrody.jsf?fop=","PL.ZIPOP.1393.PP.1012113.1552"),"(kliknij lub Ctrl+kliknij)")</f>
        <v>(kliknij lub Ctrl+kliknij)</v>
      </c>
      <c r="H674" s="0" t="s">
        <v>816</v>
      </c>
    </row>
    <row r="675" customFormat="false" ht="12.8" hidden="false" customHeight="false" outlineLevel="0" collapsed="false">
      <c r="A675" s="1" t="s">
        <v>569</v>
      </c>
      <c r="C675" s="3" t="s">
        <v>574</v>
      </c>
      <c r="D675" s="4" t="s">
        <v>571</v>
      </c>
      <c r="F675" s="6" t="s">
        <v>575</v>
      </c>
      <c r="G675" s="7" t="str">
        <f aca="false">HYPERLINK(CONCATENATE("http://crfop.gdos.gov.pl/CRFOP/widok/viewpomnikprzyrody.jsf?fop=","PL.ZIPOP.1393.PP.1012113.1553"),"(kliknij lub Ctrl+kliknij)")</f>
        <v>(kliknij lub Ctrl+kliknij)</v>
      </c>
      <c r="H675" s="0" t="s">
        <v>816</v>
      </c>
    </row>
    <row r="676" customFormat="false" ht="12.8" hidden="false" customHeight="false" outlineLevel="0" collapsed="false">
      <c r="A676" s="1" t="s">
        <v>569</v>
      </c>
      <c r="C676" s="3" t="s">
        <v>574</v>
      </c>
      <c r="D676" s="4" t="s">
        <v>571</v>
      </c>
      <c r="F676" s="6" t="s">
        <v>575</v>
      </c>
      <c r="G676" s="7" t="str">
        <f aca="false">HYPERLINK(CONCATENATE("http://crfop.gdos.gov.pl/CRFOP/widok/viewpomnikprzyrody.jsf?fop=","PL.ZIPOP.1393.PP.1012113.1554"),"(kliknij lub Ctrl+kliknij)")</f>
        <v>(kliknij lub Ctrl+kliknij)</v>
      </c>
      <c r="H676" s="0" t="s">
        <v>816</v>
      </c>
    </row>
    <row r="677" customFormat="false" ht="12.8" hidden="false" customHeight="false" outlineLevel="0" collapsed="false">
      <c r="A677" s="1" t="s">
        <v>569</v>
      </c>
      <c r="C677" s="3" t="s">
        <v>574</v>
      </c>
      <c r="D677" s="4" t="s">
        <v>571</v>
      </c>
      <c r="F677" s="6" t="s">
        <v>575</v>
      </c>
      <c r="G677" s="7" t="str">
        <f aca="false">HYPERLINK(CONCATENATE("http://crfop.gdos.gov.pl/CRFOP/widok/viewpomnikprzyrody.jsf?fop=","PL.ZIPOP.1393.PP.1012113.1555"),"(kliknij lub Ctrl+kliknij)")</f>
        <v>(kliknij lub Ctrl+kliknij)</v>
      </c>
      <c r="H677" s="0" t="s">
        <v>816</v>
      </c>
    </row>
    <row r="678" customFormat="false" ht="12.8" hidden="false" customHeight="false" outlineLevel="0" collapsed="false">
      <c r="A678" s="1" t="s">
        <v>569</v>
      </c>
      <c r="C678" s="3" t="s">
        <v>574</v>
      </c>
      <c r="D678" s="4" t="s">
        <v>571</v>
      </c>
      <c r="F678" s="6" t="s">
        <v>575</v>
      </c>
      <c r="G678" s="7" t="str">
        <f aca="false">HYPERLINK(CONCATENATE("http://crfop.gdos.gov.pl/CRFOP/widok/viewpomnikprzyrody.jsf?fop=","PL.ZIPOP.1393.PP.1012113.1559"),"(kliknij lub Ctrl+kliknij)")</f>
        <v>(kliknij lub Ctrl+kliknij)</v>
      </c>
      <c r="H678" s="0" t="s">
        <v>816</v>
      </c>
    </row>
    <row r="679" customFormat="false" ht="12.8" hidden="false" customHeight="false" outlineLevel="0" collapsed="false">
      <c r="A679" s="1" t="s">
        <v>569</v>
      </c>
      <c r="C679" s="3" t="s">
        <v>574</v>
      </c>
      <c r="D679" s="4" t="s">
        <v>571</v>
      </c>
      <c r="F679" s="6" t="s">
        <v>575</v>
      </c>
      <c r="G679" s="7" t="str">
        <f aca="false">HYPERLINK(CONCATENATE("http://crfop.gdos.gov.pl/CRFOP/widok/viewpomnikprzyrody.jsf?fop=","PL.ZIPOP.1393.PP.1012113.1560"),"(kliknij lub Ctrl+kliknij)")</f>
        <v>(kliknij lub Ctrl+kliknij)</v>
      </c>
      <c r="H679" s="0" t="s">
        <v>816</v>
      </c>
    </row>
    <row r="680" customFormat="false" ht="12.8" hidden="false" customHeight="false" outlineLevel="0" collapsed="false">
      <c r="A680" s="1" t="s">
        <v>569</v>
      </c>
      <c r="C680" s="3" t="s">
        <v>574</v>
      </c>
      <c r="D680" s="4" t="s">
        <v>571</v>
      </c>
      <c r="F680" s="6" t="s">
        <v>575</v>
      </c>
      <c r="G680" s="7" t="str">
        <f aca="false">HYPERLINK(CONCATENATE("http://crfop.gdos.gov.pl/CRFOP/widok/viewpomnikprzyrody.jsf?fop=","PL.ZIPOP.1393.PP.1012113.1562"),"(kliknij lub Ctrl+kliknij)")</f>
        <v>(kliknij lub Ctrl+kliknij)</v>
      </c>
      <c r="H680" s="0" t="s">
        <v>816</v>
      </c>
    </row>
    <row r="681" customFormat="false" ht="12.8" hidden="false" customHeight="false" outlineLevel="0" collapsed="false">
      <c r="A681" s="1" t="s">
        <v>569</v>
      </c>
      <c r="C681" s="3" t="s">
        <v>574</v>
      </c>
      <c r="D681" s="4" t="s">
        <v>571</v>
      </c>
      <c r="F681" s="6" t="s">
        <v>575</v>
      </c>
      <c r="G681" s="7" t="str">
        <f aca="false">HYPERLINK(CONCATENATE("http://crfop.gdos.gov.pl/CRFOP/widok/viewpomnikprzyrody.jsf?fop=","PL.ZIPOP.1393.PP.1012113.1565"),"(kliknij lub Ctrl+kliknij)")</f>
        <v>(kliknij lub Ctrl+kliknij)</v>
      </c>
      <c r="H681" s="0" t="s">
        <v>816</v>
      </c>
    </row>
    <row r="682" customFormat="false" ht="12.8" hidden="false" customHeight="false" outlineLevel="0" collapsed="false">
      <c r="A682" s="1" t="s">
        <v>569</v>
      </c>
      <c r="C682" s="3" t="s">
        <v>591</v>
      </c>
      <c r="D682" s="4" t="s">
        <v>571</v>
      </c>
      <c r="F682" s="6" t="s">
        <v>592</v>
      </c>
      <c r="G682" s="7" t="str">
        <f aca="false">HYPERLINK(CONCATENATE("http://crfop.gdos.gov.pl/CRFOP/widok/viewpomnikprzyrody.jsf?fop=","PL.ZIPOP.1393.PP.1012113.1567"),"(kliknij lub Ctrl+kliknij)")</f>
        <v>(kliknij lub Ctrl+kliknij)</v>
      </c>
      <c r="H682" s="0" t="s">
        <v>816</v>
      </c>
    </row>
    <row r="683" customFormat="false" ht="12.8" hidden="false" customHeight="false" outlineLevel="0" collapsed="false">
      <c r="A683" s="1" t="s">
        <v>569</v>
      </c>
      <c r="C683" s="3" t="s">
        <v>591</v>
      </c>
      <c r="D683" s="4" t="s">
        <v>571</v>
      </c>
      <c r="F683" s="6" t="s">
        <v>592</v>
      </c>
      <c r="G683" s="7" t="str">
        <f aca="false">HYPERLINK(CONCATENATE("http://crfop.gdos.gov.pl/CRFOP/widok/viewpomnikprzyrody.jsf?fop=","PL.ZIPOP.1393.PP.1012113.1570"),"(kliknij lub Ctrl+kliknij)")</f>
        <v>(kliknij lub Ctrl+kliknij)</v>
      </c>
      <c r="H683" s="0" t="s">
        <v>816</v>
      </c>
    </row>
    <row r="684" customFormat="false" ht="12.8" hidden="false" customHeight="false" outlineLevel="0" collapsed="false">
      <c r="A684" s="1" t="s">
        <v>569</v>
      </c>
      <c r="C684" s="3" t="s">
        <v>591</v>
      </c>
      <c r="D684" s="4" t="s">
        <v>571</v>
      </c>
      <c r="F684" s="6" t="s">
        <v>592</v>
      </c>
      <c r="G684" s="7" t="str">
        <f aca="false">HYPERLINK(CONCATENATE("http://crfop.gdos.gov.pl/CRFOP/widok/viewpomnikprzyrody.jsf?fop=","PL.ZIPOP.1393.PP.1012113.1571"),"(kliknij lub Ctrl+kliknij)")</f>
        <v>(kliknij lub Ctrl+kliknij)</v>
      </c>
      <c r="H684" s="0" t="s">
        <v>816</v>
      </c>
    </row>
    <row r="685" customFormat="false" ht="12.8" hidden="false" customHeight="false" outlineLevel="0" collapsed="false">
      <c r="A685" s="1" t="s">
        <v>569</v>
      </c>
      <c r="C685" s="3" t="s">
        <v>591</v>
      </c>
      <c r="D685" s="4" t="s">
        <v>571</v>
      </c>
      <c r="F685" s="6" t="s">
        <v>592</v>
      </c>
      <c r="G685" s="7" t="str">
        <f aca="false">HYPERLINK(CONCATENATE("http://crfop.gdos.gov.pl/CRFOP/widok/viewpomnikprzyrody.jsf?fop=","PL.ZIPOP.1393.PP.1012113.1572"),"(kliknij lub Ctrl+kliknij)")</f>
        <v>(kliknij lub Ctrl+kliknij)</v>
      </c>
      <c r="H685" s="0" t="s">
        <v>816</v>
      </c>
    </row>
    <row r="686" customFormat="false" ht="12.8" hidden="false" customHeight="false" outlineLevel="0" collapsed="false">
      <c r="A686" s="1" t="s">
        <v>569</v>
      </c>
      <c r="C686" s="3" t="s">
        <v>591</v>
      </c>
      <c r="D686" s="4" t="s">
        <v>571</v>
      </c>
      <c r="F686" s="6" t="s">
        <v>592</v>
      </c>
      <c r="G686" s="7" t="str">
        <f aca="false">HYPERLINK(CONCATENATE("http://crfop.gdos.gov.pl/CRFOP/widok/viewpomnikprzyrody.jsf?fop=","PL.ZIPOP.1393.PP.1012113.1573"),"(kliknij lub Ctrl+kliknij)")</f>
        <v>(kliknij lub Ctrl+kliknij)</v>
      </c>
      <c r="H686" s="0" t="s">
        <v>816</v>
      </c>
    </row>
    <row r="687" customFormat="false" ht="12.8" hidden="false" customHeight="false" outlineLevel="0" collapsed="false">
      <c r="A687" s="1" t="s">
        <v>569</v>
      </c>
      <c r="C687" s="3" t="s">
        <v>591</v>
      </c>
      <c r="D687" s="4" t="s">
        <v>571</v>
      </c>
      <c r="F687" s="6" t="s">
        <v>592</v>
      </c>
      <c r="G687" s="7" t="str">
        <f aca="false">HYPERLINK(CONCATENATE("http://crfop.gdos.gov.pl/CRFOP/widok/viewpomnikprzyrody.jsf?fop=","PL.ZIPOP.1393.PP.1012113.1574"),"(kliknij lub Ctrl+kliknij)")</f>
        <v>(kliknij lub Ctrl+kliknij)</v>
      </c>
      <c r="H687" s="0" t="s">
        <v>816</v>
      </c>
    </row>
    <row r="688" customFormat="false" ht="12.8" hidden="false" customHeight="false" outlineLevel="0" collapsed="false">
      <c r="A688" s="1" t="s">
        <v>569</v>
      </c>
      <c r="C688" s="3" t="s">
        <v>591</v>
      </c>
      <c r="D688" s="4" t="s">
        <v>571</v>
      </c>
      <c r="F688" s="6" t="s">
        <v>592</v>
      </c>
      <c r="G688" s="7" t="str">
        <f aca="false">HYPERLINK(CONCATENATE("http://crfop.gdos.gov.pl/CRFOP/widok/viewpomnikprzyrody.jsf?fop=","PL.ZIPOP.1393.PP.1012113.1576"),"(kliknij lub Ctrl+kliknij)")</f>
        <v>(kliknij lub Ctrl+kliknij)</v>
      </c>
      <c r="H688" s="0" t="s">
        <v>816</v>
      </c>
    </row>
    <row r="689" customFormat="false" ht="12.8" hidden="false" customHeight="false" outlineLevel="0" collapsed="false">
      <c r="A689" s="1" t="s">
        <v>569</v>
      </c>
      <c r="C689" s="3" t="s">
        <v>817</v>
      </c>
      <c r="D689" s="4" t="s">
        <v>571</v>
      </c>
      <c r="F689" s="6" t="s">
        <v>818</v>
      </c>
      <c r="G689" s="7" t="str">
        <f aca="false">HYPERLINK(CONCATENATE("http://crfop.gdos.gov.pl/CRFOP/widok/viewpomnikprzyrody.jsf?fop=","PL.ZIPOP.1393.PP.1012113.1577"),"(kliknij lub Ctrl+kliknij)")</f>
        <v>(kliknij lub Ctrl+kliknij)</v>
      </c>
      <c r="H689" s="0" t="s">
        <v>816</v>
      </c>
    </row>
    <row r="690" customFormat="false" ht="12.8" hidden="false" customHeight="false" outlineLevel="0" collapsed="false">
      <c r="A690" s="1" t="s">
        <v>569</v>
      </c>
      <c r="C690" s="3" t="s">
        <v>817</v>
      </c>
      <c r="D690" s="4" t="s">
        <v>571</v>
      </c>
      <c r="F690" s="6" t="s">
        <v>818</v>
      </c>
      <c r="G690" s="7" t="str">
        <f aca="false">HYPERLINK(CONCATENATE("http://crfop.gdos.gov.pl/CRFOP/widok/viewpomnikprzyrody.jsf?fop=","PL.ZIPOP.1393.PP.1012113.1578"),"(kliknij lub Ctrl+kliknij)")</f>
        <v>(kliknij lub Ctrl+kliknij)</v>
      </c>
      <c r="H690" s="0" t="s">
        <v>816</v>
      </c>
    </row>
    <row r="691" customFormat="false" ht="12.8" hidden="false" customHeight="false" outlineLevel="0" collapsed="false">
      <c r="A691" s="1" t="s">
        <v>569</v>
      </c>
      <c r="C691" s="3" t="s">
        <v>817</v>
      </c>
      <c r="D691" s="4" t="s">
        <v>571</v>
      </c>
      <c r="F691" s="6" t="s">
        <v>818</v>
      </c>
      <c r="G691" s="7" t="str">
        <f aca="false">HYPERLINK(CONCATENATE("http://crfop.gdos.gov.pl/CRFOP/widok/viewpomnikprzyrody.jsf?fop=","PL.ZIPOP.1393.PP.1012113.1579"),"(kliknij lub Ctrl+kliknij)")</f>
        <v>(kliknij lub Ctrl+kliknij)</v>
      </c>
      <c r="H691" s="0" t="s">
        <v>816</v>
      </c>
    </row>
    <row r="692" customFormat="false" ht="12.8" hidden="false" customHeight="false" outlineLevel="0" collapsed="false">
      <c r="A692" s="1" t="s">
        <v>569</v>
      </c>
      <c r="C692" s="3" t="s">
        <v>817</v>
      </c>
      <c r="D692" s="4" t="s">
        <v>571</v>
      </c>
      <c r="F692" s="6" t="s">
        <v>818</v>
      </c>
      <c r="G692" s="7" t="str">
        <f aca="false">HYPERLINK(CONCATENATE("http://crfop.gdos.gov.pl/CRFOP/widok/viewpomnikprzyrody.jsf?fop=","PL.ZIPOP.1393.PP.1012113.1580"),"(kliknij lub Ctrl+kliknij)")</f>
        <v>(kliknij lub Ctrl+kliknij)</v>
      </c>
      <c r="H692" s="0" t="s">
        <v>816</v>
      </c>
    </row>
    <row r="693" customFormat="false" ht="12.8" hidden="false" customHeight="false" outlineLevel="0" collapsed="false">
      <c r="A693" s="1" t="s">
        <v>569</v>
      </c>
      <c r="C693" s="3" t="s">
        <v>817</v>
      </c>
      <c r="D693" s="4" t="s">
        <v>571</v>
      </c>
      <c r="F693" s="6" t="s">
        <v>818</v>
      </c>
      <c r="G693" s="7" t="str">
        <f aca="false">HYPERLINK(CONCATENATE("http://crfop.gdos.gov.pl/CRFOP/widok/viewpomnikprzyrody.jsf?fop=","PL.ZIPOP.1393.PP.1012113.1581"),"(kliknij lub Ctrl+kliknij)")</f>
        <v>(kliknij lub Ctrl+kliknij)</v>
      </c>
      <c r="H693" s="0" t="s">
        <v>816</v>
      </c>
    </row>
    <row r="694" customFormat="false" ht="12.8" hidden="false" customHeight="false" outlineLevel="0" collapsed="false">
      <c r="A694" s="1" t="s">
        <v>569</v>
      </c>
      <c r="C694" s="3" t="s">
        <v>570</v>
      </c>
      <c r="D694" s="4" t="s">
        <v>571</v>
      </c>
      <c r="F694" s="6" t="s">
        <v>572</v>
      </c>
      <c r="G694" s="7" t="str">
        <f aca="false">HYPERLINK(CONCATENATE("http://crfop.gdos.gov.pl/CRFOP/widok/viewpomnikprzyrody.jsf?fop=","PL.ZIPOP.1393.PP.1012122.1582"),"(kliknij lub Ctrl+kliknij)")</f>
        <v>(kliknij lub Ctrl+kliknij)</v>
      </c>
      <c r="H694" s="0" t="s">
        <v>793</v>
      </c>
    </row>
    <row r="695" customFormat="false" ht="12.8" hidden="false" customHeight="false" outlineLevel="0" collapsed="false">
      <c r="A695" s="1" t="s">
        <v>569</v>
      </c>
      <c r="C695" s="3" t="s">
        <v>570</v>
      </c>
      <c r="D695" s="4" t="s">
        <v>571</v>
      </c>
      <c r="F695" s="6" t="s">
        <v>572</v>
      </c>
      <c r="G695" s="7" t="str">
        <f aca="false">HYPERLINK(CONCATENATE("http://crfop.gdos.gov.pl/CRFOP/widok/viewpomnikprzyrody.jsf?fop=","PL.ZIPOP.1393.PP.1012122.1583"),"(kliknij lub Ctrl+kliknij)")</f>
        <v>(kliknij lub Ctrl+kliknij)</v>
      </c>
      <c r="H695" s="0" t="s">
        <v>793</v>
      </c>
    </row>
    <row r="696" customFormat="false" ht="12.8" hidden="false" customHeight="false" outlineLevel="0" collapsed="false">
      <c r="A696" s="1" t="s">
        <v>569</v>
      </c>
      <c r="C696" s="3" t="s">
        <v>570</v>
      </c>
      <c r="D696" s="4" t="s">
        <v>571</v>
      </c>
      <c r="F696" s="6" t="s">
        <v>572</v>
      </c>
      <c r="G696" s="7" t="str">
        <f aca="false">HYPERLINK(CONCATENATE("http://crfop.gdos.gov.pl/CRFOP/widok/viewpomnikprzyrody.jsf?fop=","PL.ZIPOP.1393.PP.1012122.1584"),"(kliknij lub Ctrl+kliknij)")</f>
        <v>(kliknij lub Ctrl+kliknij)</v>
      </c>
      <c r="H696" s="0" t="s">
        <v>793</v>
      </c>
    </row>
    <row r="697" customFormat="false" ht="12.8" hidden="false" customHeight="false" outlineLevel="0" collapsed="false">
      <c r="A697" s="1" t="s">
        <v>569</v>
      </c>
      <c r="C697" s="3" t="s">
        <v>570</v>
      </c>
      <c r="D697" s="4" t="s">
        <v>571</v>
      </c>
      <c r="F697" s="6" t="s">
        <v>572</v>
      </c>
      <c r="G697" s="7" t="str">
        <f aca="false">HYPERLINK(CONCATENATE("http://crfop.gdos.gov.pl/CRFOP/widok/viewpomnikprzyrody.jsf?fop=","PL.ZIPOP.1393.PP.1012122.1585"),"(kliknij lub Ctrl+kliknij)")</f>
        <v>(kliknij lub Ctrl+kliknij)</v>
      </c>
      <c r="H697" s="0" t="s">
        <v>793</v>
      </c>
    </row>
    <row r="698" customFormat="false" ht="12.8" hidden="false" customHeight="false" outlineLevel="0" collapsed="false">
      <c r="A698" s="1" t="s">
        <v>569</v>
      </c>
      <c r="C698" s="3" t="s">
        <v>574</v>
      </c>
      <c r="D698" s="4" t="s">
        <v>571</v>
      </c>
      <c r="F698" s="6" t="s">
        <v>575</v>
      </c>
      <c r="G698" s="7" t="str">
        <f aca="false">HYPERLINK(CONCATENATE("http://crfop.gdos.gov.pl/CRFOP/widok/viewpomnikprzyrody.jsf?fop=","PL.ZIPOP.1393.PP.1012122.1587"),"(kliknij lub Ctrl+kliknij)")</f>
        <v>(kliknij lub Ctrl+kliknij)</v>
      </c>
      <c r="H698" s="0" t="s">
        <v>793</v>
      </c>
    </row>
    <row r="699" customFormat="false" ht="12.8" hidden="false" customHeight="false" outlineLevel="0" collapsed="false">
      <c r="A699" s="1" t="s">
        <v>569</v>
      </c>
      <c r="C699" s="3" t="s">
        <v>570</v>
      </c>
      <c r="D699" s="4" t="s">
        <v>571</v>
      </c>
      <c r="F699" s="6" t="s">
        <v>572</v>
      </c>
      <c r="G699" s="7" t="str">
        <f aca="false">HYPERLINK(CONCATENATE("http://crfop.gdos.gov.pl/CRFOP/widok/viewpomnikprzyrody.jsf?fop=","PL.ZIPOP.1393.PP.1012132.1594"),"(kliknij lub Ctrl+kliknij)")</f>
        <v>(kliknij lub Ctrl+kliknij)</v>
      </c>
      <c r="H699" s="0" t="s">
        <v>819</v>
      </c>
    </row>
    <row r="700" customFormat="false" ht="12.8" hidden="false" customHeight="false" outlineLevel="0" collapsed="false">
      <c r="A700" s="1" t="s">
        <v>569</v>
      </c>
      <c r="C700" s="3" t="s">
        <v>570</v>
      </c>
      <c r="D700" s="4" t="s">
        <v>571</v>
      </c>
      <c r="F700" s="6" t="s">
        <v>572</v>
      </c>
      <c r="G700" s="7" t="str">
        <f aca="false">HYPERLINK(CONCATENATE("http://crfop.gdos.gov.pl/CRFOP/widok/viewpomnikprzyrody.jsf?fop=","PL.ZIPOP.1393.PP.1012132.1595"),"(kliknij lub Ctrl+kliknij)")</f>
        <v>(kliknij lub Ctrl+kliknij)</v>
      </c>
      <c r="H700" s="0" t="s">
        <v>819</v>
      </c>
    </row>
    <row r="701" customFormat="false" ht="12.8" hidden="false" customHeight="false" outlineLevel="0" collapsed="false">
      <c r="A701" s="1" t="s">
        <v>569</v>
      </c>
      <c r="C701" s="3" t="s">
        <v>574</v>
      </c>
      <c r="D701" s="4" t="s">
        <v>571</v>
      </c>
      <c r="F701" s="6" t="s">
        <v>575</v>
      </c>
      <c r="G701" s="7" t="str">
        <f aca="false">HYPERLINK(CONCATENATE("http://crfop.gdos.gov.pl/CRFOP/widok/viewpomnikprzyrody.jsf?fop=","PL.ZIPOP.1393.PP.1012132.1596"),"(kliknij lub Ctrl+kliknij)")</f>
        <v>(kliknij lub Ctrl+kliknij)</v>
      </c>
      <c r="H701" s="0" t="s">
        <v>819</v>
      </c>
    </row>
    <row r="702" customFormat="false" ht="12.8" hidden="false" customHeight="false" outlineLevel="0" collapsed="false">
      <c r="A702" s="1" t="s">
        <v>569</v>
      </c>
      <c r="C702" s="3" t="s">
        <v>795</v>
      </c>
      <c r="D702" s="4" t="s">
        <v>571</v>
      </c>
      <c r="F702" s="6" t="s">
        <v>796</v>
      </c>
      <c r="G702" s="7" t="str">
        <f aca="false">HYPERLINK(CONCATENATE("http://crfop.gdos.gov.pl/CRFOP/widok/viewpomnikprzyrody.jsf?fop=","PL.ZIPOP.1393.PP.1012142.1597"),"(kliknij lub Ctrl+kliknij)")</f>
        <v>(kliknij lub Ctrl+kliknij)</v>
      </c>
      <c r="H702" s="0" t="s">
        <v>820</v>
      </c>
    </row>
    <row r="703" customFormat="false" ht="12.8" hidden="false" customHeight="false" outlineLevel="0" collapsed="false">
      <c r="A703" s="1" t="s">
        <v>569</v>
      </c>
      <c r="C703" s="3" t="s">
        <v>795</v>
      </c>
      <c r="D703" s="4" t="s">
        <v>571</v>
      </c>
      <c r="F703" s="6" t="s">
        <v>796</v>
      </c>
      <c r="G703" s="7" t="str">
        <f aca="false">HYPERLINK(CONCATENATE("http://crfop.gdos.gov.pl/CRFOP/widok/viewpomnikprzyrody.jsf?fop=","PL.ZIPOP.1393.PP.1012142.1598"),"(kliknij lub Ctrl+kliknij)")</f>
        <v>(kliknij lub Ctrl+kliknij)</v>
      </c>
      <c r="H703" s="0" t="s">
        <v>820</v>
      </c>
    </row>
    <row r="704" customFormat="false" ht="12.8" hidden="false" customHeight="false" outlineLevel="0" collapsed="false">
      <c r="A704" s="1" t="s">
        <v>569</v>
      </c>
      <c r="C704" s="3" t="s">
        <v>795</v>
      </c>
      <c r="D704" s="4" t="s">
        <v>571</v>
      </c>
      <c r="F704" s="6" t="s">
        <v>796</v>
      </c>
      <c r="G704" s="7" t="str">
        <f aca="false">HYPERLINK(CONCATENATE("http://crfop.gdos.gov.pl/CRFOP/widok/viewpomnikprzyrody.jsf?fop=","PL.ZIPOP.1393.PP.1012142.1599"),"(kliknij lub Ctrl+kliknij)")</f>
        <v>(kliknij lub Ctrl+kliknij)</v>
      </c>
      <c r="H704" s="0" t="s">
        <v>820</v>
      </c>
    </row>
    <row r="705" customFormat="false" ht="12.8" hidden="false" customHeight="false" outlineLevel="0" collapsed="false">
      <c r="A705" s="1" t="s">
        <v>569</v>
      </c>
      <c r="C705" s="3" t="s">
        <v>795</v>
      </c>
      <c r="D705" s="4" t="s">
        <v>571</v>
      </c>
      <c r="F705" s="6" t="s">
        <v>796</v>
      </c>
      <c r="G705" s="7" t="str">
        <f aca="false">HYPERLINK(CONCATENATE("http://crfop.gdos.gov.pl/CRFOP/widok/viewpomnikprzyrody.jsf?fop=","PL.ZIPOP.1393.PP.1012142.1600"),"(kliknij lub Ctrl+kliknij)")</f>
        <v>(kliknij lub Ctrl+kliknij)</v>
      </c>
      <c r="H705" s="0" t="s">
        <v>820</v>
      </c>
    </row>
    <row r="706" customFormat="false" ht="12.8" hidden="false" customHeight="false" outlineLevel="0" collapsed="false">
      <c r="A706" s="1" t="s">
        <v>569</v>
      </c>
      <c r="C706" s="3" t="s">
        <v>795</v>
      </c>
      <c r="D706" s="4" t="s">
        <v>571</v>
      </c>
      <c r="F706" s="6" t="s">
        <v>796</v>
      </c>
      <c r="G706" s="7" t="str">
        <f aca="false">HYPERLINK(CONCATENATE("http://crfop.gdos.gov.pl/CRFOP/widok/viewpomnikprzyrody.jsf?fop=","PL.ZIPOP.1393.PP.1012142.1601"),"(kliknij lub Ctrl+kliknij)")</f>
        <v>(kliknij lub Ctrl+kliknij)</v>
      </c>
      <c r="H706" s="0" t="s">
        <v>820</v>
      </c>
    </row>
    <row r="707" customFormat="false" ht="12.8" hidden="false" customHeight="false" outlineLevel="0" collapsed="false">
      <c r="A707" s="1" t="s">
        <v>569</v>
      </c>
      <c r="C707" s="3" t="s">
        <v>795</v>
      </c>
      <c r="D707" s="4" t="s">
        <v>571</v>
      </c>
      <c r="F707" s="6" t="s">
        <v>796</v>
      </c>
      <c r="G707" s="7" t="str">
        <f aca="false">HYPERLINK(CONCATENATE("http://crfop.gdos.gov.pl/CRFOP/widok/viewpomnikprzyrody.jsf?fop=","PL.ZIPOP.1393.PP.1012142.1603"),"(kliknij lub Ctrl+kliknij)")</f>
        <v>(kliknij lub Ctrl+kliknij)</v>
      </c>
      <c r="H707" s="0" t="s">
        <v>820</v>
      </c>
    </row>
    <row r="708" customFormat="false" ht="12.8" hidden="false" customHeight="false" outlineLevel="0" collapsed="false">
      <c r="A708" s="1" t="s">
        <v>569</v>
      </c>
      <c r="C708" s="3" t="s">
        <v>795</v>
      </c>
      <c r="D708" s="4" t="s">
        <v>571</v>
      </c>
      <c r="F708" s="6" t="s">
        <v>796</v>
      </c>
      <c r="G708" s="7" t="str">
        <f aca="false">HYPERLINK(CONCATENATE("http://crfop.gdos.gov.pl/CRFOP/widok/viewpomnikprzyrody.jsf?fop=","PL.ZIPOP.1393.PP.1012142.1604"),"(kliknij lub Ctrl+kliknij)")</f>
        <v>(kliknij lub Ctrl+kliknij)</v>
      </c>
      <c r="H708" s="0" t="s">
        <v>820</v>
      </c>
    </row>
    <row r="709" customFormat="false" ht="12.8" hidden="false" customHeight="false" outlineLevel="0" collapsed="false">
      <c r="A709" s="1" t="s">
        <v>569</v>
      </c>
      <c r="C709" s="3" t="s">
        <v>821</v>
      </c>
      <c r="D709" s="4" t="s">
        <v>571</v>
      </c>
      <c r="F709" s="6" t="s">
        <v>822</v>
      </c>
      <c r="G709" s="7" t="str">
        <f aca="false">HYPERLINK(CONCATENATE("http://crfop.gdos.gov.pl/CRFOP/widok/viewpomnikprzyrody.jsf?fop=","PL.ZIPOP.1393.PP.1013011.1239"),"(kliknij lub Ctrl+kliknij)")</f>
        <v>(kliknij lub Ctrl+kliknij)</v>
      </c>
      <c r="H709" s="0" t="s">
        <v>823</v>
      </c>
    </row>
    <row r="710" customFormat="false" ht="12.8" hidden="false" customHeight="false" outlineLevel="0" collapsed="false">
      <c r="A710" s="1" t="s">
        <v>569</v>
      </c>
      <c r="C710" s="3" t="s">
        <v>821</v>
      </c>
      <c r="D710" s="4" t="s">
        <v>571</v>
      </c>
      <c r="F710" s="6" t="s">
        <v>822</v>
      </c>
      <c r="G710" s="7" t="str">
        <f aca="false">HYPERLINK(CONCATENATE("http://crfop.gdos.gov.pl/CRFOP/widok/viewpomnikprzyrody.jsf?fop=","PL.ZIPOP.1393.PP.1013011.1240"),"(kliknij lub Ctrl+kliknij)")</f>
        <v>(kliknij lub Ctrl+kliknij)</v>
      </c>
      <c r="H710" s="0" t="s">
        <v>823</v>
      </c>
    </row>
    <row r="711" customFormat="false" ht="12.8" hidden="false" customHeight="false" outlineLevel="0" collapsed="false">
      <c r="A711" s="1" t="s">
        <v>569</v>
      </c>
      <c r="C711" s="3" t="s">
        <v>687</v>
      </c>
      <c r="D711" s="4" t="s">
        <v>571</v>
      </c>
      <c r="F711" s="6" t="s">
        <v>824</v>
      </c>
      <c r="G711" s="7" t="str">
        <f aca="false">HYPERLINK(CONCATENATE("http://crfop.gdos.gov.pl/CRFOP/widok/viewpomnikprzyrody.jsf?fop=","PL.ZIPOP.1393.PP.1013011.1241"),"(kliknij lub Ctrl+kliknij)")</f>
        <v>(kliknij lub Ctrl+kliknij)</v>
      </c>
      <c r="H711" s="0" t="s">
        <v>823</v>
      </c>
    </row>
    <row r="712" customFormat="false" ht="12.8" hidden="false" customHeight="false" outlineLevel="0" collapsed="false">
      <c r="A712" s="1" t="s">
        <v>569</v>
      </c>
      <c r="C712" s="3" t="s">
        <v>687</v>
      </c>
      <c r="D712" s="4" t="s">
        <v>571</v>
      </c>
      <c r="F712" s="6" t="s">
        <v>688</v>
      </c>
      <c r="G712" s="7" t="str">
        <f aca="false">HYPERLINK(CONCATENATE("http://crfop.gdos.gov.pl/CRFOP/widok/viewpomnikprzyrody.jsf?fop=","PL.ZIPOP.1393.PP.1013011.1243"),"(kliknij lub Ctrl+kliknij)")</f>
        <v>(kliknij lub Ctrl+kliknij)</v>
      </c>
      <c r="H712" s="0" t="s">
        <v>823</v>
      </c>
    </row>
    <row r="713" customFormat="false" ht="12.8" hidden="false" customHeight="false" outlineLevel="0" collapsed="false">
      <c r="A713" s="1" t="s">
        <v>569</v>
      </c>
      <c r="C713" s="3" t="s">
        <v>687</v>
      </c>
      <c r="D713" s="4" t="s">
        <v>571</v>
      </c>
      <c r="F713" s="6" t="s">
        <v>688</v>
      </c>
      <c r="G713" s="7" t="str">
        <f aca="false">HYPERLINK(CONCATENATE("http://crfop.gdos.gov.pl/CRFOP/widok/viewpomnikprzyrody.jsf?fop=","PL.ZIPOP.1393.PP.1013011.1244"),"(kliknij lub Ctrl+kliknij)")</f>
        <v>(kliknij lub Ctrl+kliknij)</v>
      </c>
      <c r="H713" s="0" t="s">
        <v>823</v>
      </c>
    </row>
    <row r="714" customFormat="false" ht="12.8" hidden="false" customHeight="false" outlineLevel="0" collapsed="false">
      <c r="A714" s="1" t="s">
        <v>569</v>
      </c>
      <c r="C714" s="3" t="s">
        <v>825</v>
      </c>
      <c r="D714" s="4" t="s">
        <v>571</v>
      </c>
      <c r="F714" s="6" t="s">
        <v>826</v>
      </c>
      <c r="G714" s="7" t="str">
        <f aca="false">HYPERLINK(CONCATENATE("http://crfop.gdos.gov.pl/CRFOP/widok/viewpomnikprzyrody.jsf?fop=","PL.ZIPOP.1393.PP.1013023.1207"),"(kliknij lub Ctrl+kliknij)")</f>
        <v>(kliknij lub Ctrl+kliknij)</v>
      </c>
      <c r="H714" s="0" t="s">
        <v>827</v>
      </c>
    </row>
    <row r="715" customFormat="false" ht="12.8" hidden="false" customHeight="false" outlineLevel="0" collapsed="false">
      <c r="A715" s="1" t="s">
        <v>569</v>
      </c>
      <c r="C715" s="3" t="s">
        <v>825</v>
      </c>
      <c r="D715" s="4" t="s">
        <v>571</v>
      </c>
      <c r="F715" s="6" t="s">
        <v>826</v>
      </c>
      <c r="G715" s="7" t="str">
        <f aca="false">HYPERLINK(CONCATENATE("http://crfop.gdos.gov.pl/CRFOP/widok/viewpomnikprzyrody.jsf?fop=","PL.ZIPOP.1393.PP.1013023.1208"),"(kliknij lub Ctrl+kliknij)")</f>
        <v>(kliknij lub Ctrl+kliknij)</v>
      </c>
      <c r="H715" s="0" t="s">
        <v>827</v>
      </c>
    </row>
    <row r="716" customFormat="false" ht="12.8" hidden="false" customHeight="false" outlineLevel="0" collapsed="false">
      <c r="A716" s="1" t="s">
        <v>569</v>
      </c>
      <c r="C716" s="3" t="s">
        <v>702</v>
      </c>
      <c r="D716" s="4" t="s">
        <v>571</v>
      </c>
      <c r="F716" s="6" t="s">
        <v>703</v>
      </c>
      <c r="G716" s="7" t="str">
        <f aca="false">HYPERLINK(CONCATENATE("http://crfop.gdos.gov.pl/CRFOP/widok/viewpomnikprzyrody.jsf?fop=","PL.ZIPOP.1393.PP.1013023.1210"),"(kliknij lub Ctrl+kliknij)")</f>
        <v>(kliknij lub Ctrl+kliknij)</v>
      </c>
      <c r="H716" s="0" t="s">
        <v>827</v>
      </c>
    </row>
    <row r="717" customFormat="false" ht="12.8" hidden="false" customHeight="false" outlineLevel="0" collapsed="false">
      <c r="A717" s="1" t="s">
        <v>569</v>
      </c>
      <c r="C717" s="3" t="s">
        <v>702</v>
      </c>
      <c r="D717" s="4" t="s">
        <v>571</v>
      </c>
      <c r="F717" s="6" t="s">
        <v>703</v>
      </c>
      <c r="G717" s="7" t="str">
        <f aca="false">HYPERLINK(CONCATENATE("http://crfop.gdos.gov.pl/CRFOP/widok/viewpomnikprzyrody.jsf?fop=","PL.ZIPOP.1393.PP.1013023.1213"),"(kliknij lub Ctrl+kliknij)")</f>
        <v>(kliknij lub Ctrl+kliknij)</v>
      </c>
      <c r="H717" s="0" t="s">
        <v>827</v>
      </c>
    </row>
    <row r="718" customFormat="false" ht="12.8" hidden="false" customHeight="false" outlineLevel="0" collapsed="false">
      <c r="A718" s="1" t="s">
        <v>569</v>
      </c>
      <c r="B718" s="2" t="s">
        <v>828</v>
      </c>
      <c r="C718" s="3" t="s">
        <v>702</v>
      </c>
      <c r="D718" s="4" t="s">
        <v>571</v>
      </c>
      <c r="F718" s="6" t="s">
        <v>703</v>
      </c>
      <c r="G718" s="7" t="str">
        <f aca="false">HYPERLINK(CONCATENATE("http://crfop.gdos.gov.pl/CRFOP/widok/viewpomnikprzyrody.jsf?fop=","PL.ZIPOP.1393.PP.1013023.1214"),"(kliknij lub Ctrl+kliknij)")</f>
        <v>(kliknij lub Ctrl+kliknij)</v>
      </c>
      <c r="H718" s="0" t="s">
        <v>827</v>
      </c>
    </row>
    <row r="719" customFormat="false" ht="12.8" hidden="false" customHeight="false" outlineLevel="0" collapsed="false">
      <c r="A719" s="1" t="s">
        <v>569</v>
      </c>
      <c r="C719" s="3" t="s">
        <v>829</v>
      </c>
      <c r="D719" s="4" t="s">
        <v>571</v>
      </c>
      <c r="F719" s="6" t="s">
        <v>830</v>
      </c>
      <c r="G719" s="7" t="str">
        <f aca="false">HYPERLINK(CONCATENATE("http://crfop.gdos.gov.pl/CRFOP/widok/viewpomnikprzyrody.jsf?fop=","PL.ZIPOP.1393.PP.1013023.1215"),"(kliknij lub Ctrl+kliknij)")</f>
        <v>(kliknij lub Ctrl+kliknij)</v>
      </c>
      <c r="H719" s="0" t="s">
        <v>827</v>
      </c>
    </row>
    <row r="720" customFormat="false" ht="12.8" hidden="false" customHeight="false" outlineLevel="0" collapsed="false">
      <c r="A720" s="1" t="s">
        <v>569</v>
      </c>
      <c r="C720" s="3" t="s">
        <v>829</v>
      </c>
      <c r="D720" s="4" t="s">
        <v>571</v>
      </c>
      <c r="F720" s="6" t="s">
        <v>830</v>
      </c>
      <c r="G720" s="7" t="str">
        <f aca="false">HYPERLINK(CONCATENATE("http://crfop.gdos.gov.pl/CRFOP/widok/viewpomnikprzyrody.jsf?fop=","PL.ZIPOP.1393.PP.1013023.1216"),"(kliknij lub Ctrl+kliknij)")</f>
        <v>(kliknij lub Ctrl+kliknij)</v>
      </c>
      <c r="H720" s="0" t="s">
        <v>827</v>
      </c>
    </row>
    <row r="721" customFormat="false" ht="12.8" hidden="false" customHeight="false" outlineLevel="0" collapsed="false">
      <c r="A721" s="1" t="s">
        <v>569</v>
      </c>
      <c r="C721" s="3" t="s">
        <v>829</v>
      </c>
      <c r="D721" s="4" t="s">
        <v>571</v>
      </c>
      <c r="F721" s="6" t="s">
        <v>830</v>
      </c>
      <c r="G721" s="7" t="str">
        <f aca="false">HYPERLINK(CONCATENATE("http://crfop.gdos.gov.pl/CRFOP/widok/viewpomnikprzyrody.jsf?fop=","PL.ZIPOP.1393.PP.1013023.1218"),"(kliknij lub Ctrl+kliknij)")</f>
        <v>(kliknij lub Ctrl+kliknij)</v>
      </c>
      <c r="H721" s="0" t="s">
        <v>827</v>
      </c>
    </row>
    <row r="722" customFormat="false" ht="12.8" hidden="false" customHeight="false" outlineLevel="0" collapsed="false">
      <c r="A722" s="1" t="s">
        <v>569</v>
      </c>
      <c r="C722" s="3" t="s">
        <v>829</v>
      </c>
      <c r="D722" s="4" t="s">
        <v>571</v>
      </c>
      <c r="F722" s="6" t="s">
        <v>830</v>
      </c>
      <c r="G722" s="7" t="str">
        <f aca="false">HYPERLINK(CONCATENATE("http://crfop.gdos.gov.pl/CRFOP/widok/viewpomnikprzyrody.jsf?fop=","PL.ZIPOP.1393.PP.1013023.1219"),"(kliknij lub Ctrl+kliknij)")</f>
        <v>(kliknij lub Ctrl+kliknij)</v>
      </c>
      <c r="H722" s="0" t="s">
        <v>827</v>
      </c>
    </row>
    <row r="723" customFormat="false" ht="12.8" hidden="false" customHeight="false" outlineLevel="0" collapsed="false">
      <c r="A723" s="1" t="s">
        <v>569</v>
      </c>
      <c r="C723" s="3" t="s">
        <v>829</v>
      </c>
      <c r="D723" s="4" t="s">
        <v>571</v>
      </c>
      <c r="F723" s="6" t="s">
        <v>830</v>
      </c>
      <c r="G723" s="7" t="str">
        <f aca="false">HYPERLINK(CONCATENATE("http://crfop.gdos.gov.pl/CRFOP/widok/viewpomnikprzyrody.jsf?fop=","PL.ZIPOP.1393.PP.1013023.1220"),"(kliknij lub Ctrl+kliknij)")</f>
        <v>(kliknij lub Ctrl+kliknij)</v>
      </c>
      <c r="H723" s="0" t="s">
        <v>827</v>
      </c>
    </row>
    <row r="724" customFormat="false" ht="12.8" hidden="false" customHeight="false" outlineLevel="0" collapsed="false">
      <c r="A724" s="1" t="s">
        <v>569</v>
      </c>
      <c r="C724" s="3" t="s">
        <v>821</v>
      </c>
      <c r="D724" s="4" t="s">
        <v>571</v>
      </c>
      <c r="F724" s="6" t="s">
        <v>822</v>
      </c>
      <c r="G724" s="7" t="str">
        <f aca="false">HYPERLINK(CONCATENATE("http://crfop.gdos.gov.pl/CRFOP/widok/viewpomnikprzyrody.jsf?fop=","PL.ZIPOP.1393.PP.1013023.1223"),"(kliknij lub Ctrl+kliknij)")</f>
        <v>(kliknij lub Ctrl+kliknij)</v>
      </c>
      <c r="H724" s="0" t="s">
        <v>827</v>
      </c>
    </row>
    <row r="725" customFormat="false" ht="12.8" hidden="false" customHeight="false" outlineLevel="0" collapsed="false">
      <c r="A725" s="1" t="s">
        <v>569</v>
      </c>
      <c r="B725" s="2" t="s">
        <v>831</v>
      </c>
      <c r="C725" s="3" t="s">
        <v>700</v>
      </c>
      <c r="D725" s="4" t="s">
        <v>571</v>
      </c>
      <c r="F725" s="6" t="s">
        <v>832</v>
      </c>
      <c r="G725" s="7" t="str">
        <f aca="false">HYPERLINK(CONCATENATE("http://crfop.gdos.gov.pl/CRFOP/widok/viewpomnikprzyrody.jsf?fop=","PL.ZIPOP.1393.PP.1013023.1224"),"(kliknij lub Ctrl+kliknij)")</f>
        <v>(kliknij lub Ctrl+kliknij)</v>
      </c>
      <c r="H725" s="0" t="s">
        <v>827</v>
      </c>
    </row>
    <row r="726" customFormat="false" ht="12.8" hidden="false" customHeight="false" outlineLevel="0" collapsed="false">
      <c r="A726" s="1" t="s">
        <v>569</v>
      </c>
      <c r="C726" s="3" t="s">
        <v>700</v>
      </c>
      <c r="D726" s="4" t="s">
        <v>571</v>
      </c>
      <c r="F726" s="6" t="s">
        <v>833</v>
      </c>
      <c r="G726" s="7" t="str">
        <f aca="false">HYPERLINK(CONCATENATE("http://crfop.gdos.gov.pl/CRFOP/widok/viewpomnikprzyrody.jsf?fop=","PL.ZIPOP.1393.PP.1013023.1226"),"(kliknij lub Ctrl+kliknij)")</f>
        <v>(kliknij lub Ctrl+kliknij)</v>
      </c>
      <c r="H726" s="0" t="s">
        <v>827</v>
      </c>
    </row>
    <row r="727" customFormat="false" ht="12.8" hidden="false" customHeight="false" outlineLevel="0" collapsed="false">
      <c r="A727" s="1" t="s">
        <v>569</v>
      </c>
      <c r="C727" s="3" t="s">
        <v>821</v>
      </c>
      <c r="D727" s="4" t="s">
        <v>571</v>
      </c>
      <c r="F727" s="6" t="s">
        <v>822</v>
      </c>
      <c r="G727" s="7" t="str">
        <f aca="false">HYPERLINK(CONCATENATE("http://crfop.gdos.gov.pl/CRFOP/widok/viewpomnikprzyrody.jsf?fop=","PL.ZIPOP.1393.PP.1013032.1139"),"(kliknij lub Ctrl+kliknij)")</f>
        <v>(kliknij lub Ctrl+kliknij)</v>
      </c>
      <c r="H727" s="0" t="s">
        <v>834</v>
      </c>
    </row>
    <row r="728" customFormat="false" ht="12.8" hidden="false" customHeight="false" outlineLevel="0" collapsed="false">
      <c r="A728" s="1" t="s">
        <v>569</v>
      </c>
      <c r="B728" s="2" t="s">
        <v>835</v>
      </c>
      <c r="C728" s="3" t="s">
        <v>700</v>
      </c>
      <c r="D728" s="4" t="s">
        <v>571</v>
      </c>
      <c r="F728" s="6" t="s">
        <v>836</v>
      </c>
      <c r="G728" s="7" t="str">
        <f aca="false">HYPERLINK(CONCATENATE("http://crfop.gdos.gov.pl/CRFOP/widok/viewpomnikprzyrody.jsf?fop=","PL.ZIPOP.1393.PP.1013032.1140"),"(kliknij lub Ctrl+kliknij)")</f>
        <v>(kliknij lub Ctrl+kliknij)</v>
      </c>
      <c r="H728" s="0" t="s">
        <v>834</v>
      </c>
    </row>
    <row r="729" customFormat="false" ht="12.8" hidden="false" customHeight="false" outlineLevel="0" collapsed="false">
      <c r="A729" s="1" t="s">
        <v>569</v>
      </c>
      <c r="C729" s="3" t="s">
        <v>702</v>
      </c>
      <c r="D729" s="4" t="s">
        <v>571</v>
      </c>
      <c r="F729" s="6" t="s">
        <v>703</v>
      </c>
      <c r="G729" s="7" t="str">
        <f aca="false">HYPERLINK(CONCATENATE("http://crfop.gdos.gov.pl/CRFOP/widok/viewpomnikprzyrody.jsf?fop=","PL.ZIPOP.1393.PP.1013042.1227"),"(kliknij lub Ctrl+kliknij)")</f>
        <v>(kliknij lub Ctrl+kliknij)</v>
      </c>
      <c r="H729" s="0" t="s">
        <v>823</v>
      </c>
    </row>
    <row r="730" customFormat="false" ht="12.8" hidden="false" customHeight="false" outlineLevel="0" collapsed="false">
      <c r="A730" s="1" t="s">
        <v>569</v>
      </c>
      <c r="C730" s="3" t="s">
        <v>702</v>
      </c>
      <c r="D730" s="4" t="s">
        <v>571</v>
      </c>
      <c r="F730" s="6" t="s">
        <v>703</v>
      </c>
      <c r="G730" s="7" t="str">
        <f aca="false">HYPERLINK(CONCATENATE("http://crfop.gdos.gov.pl/CRFOP/widok/viewpomnikprzyrody.jsf?fop=","PL.ZIPOP.1393.PP.1013042.1228"),"(kliknij lub Ctrl+kliknij)")</f>
        <v>(kliknij lub Ctrl+kliknij)</v>
      </c>
      <c r="H730" s="0" t="s">
        <v>823</v>
      </c>
    </row>
    <row r="731" customFormat="false" ht="12.8" hidden="false" customHeight="false" outlineLevel="0" collapsed="false">
      <c r="A731" s="1" t="s">
        <v>569</v>
      </c>
      <c r="C731" s="3" t="s">
        <v>702</v>
      </c>
      <c r="D731" s="4" t="s">
        <v>571</v>
      </c>
      <c r="F731" s="6" t="s">
        <v>703</v>
      </c>
      <c r="G731" s="7" t="str">
        <f aca="false">HYPERLINK(CONCATENATE("http://crfop.gdos.gov.pl/CRFOP/widok/viewpomnikprzyrody.jsf?fop=","PL.ZIPOP.1393.PP.1013042.1229"),"(kliknij lub Ctrl+kliknij)")</f>
        <v>(kliknij lub Ctrl+kliknij)</v>
      </c>
      <c r="H731" s="0" t="s">
        <v>823</v>
      </c>
    </row>
    <row r="732" customFormat="false" ht="12.8" hidden="false" customHeight="false" outlineLevel="0" collapsed="false">
      <c r="A732" s="1" t="s">
        <v>569</v>
      </c>
      <c r="C732" s="3" t="s">
        <v>290</v>
      </c>
      <c r="D732" s="4" t="s">
        <v>571</v>
      </c>
      <c r="F732" s="6" t="s">
        <v>837</v>
      </c>
      <c r="G732" s="7" t="str">
        <f aca="false">HYPERLINK(CONCATENATE("http://crfop.gdos.gov.pl/CRFOP/widok/viewpomnikprzyrody.jsf?fop=","PL.ZIPOP.1393.PP.1013042.1231"),"(kliknij lub Ctrl+kliknij)")</f>
        <v>(kliknij lub Ctrl+kliknij)</v>
      </c>
      <c r="H732" s="0" t="s">
        <v>823</v>
      </c>
    </row>
    <row r="733" customFormat="false" ht="12.8" hidden="false" customHeight="false" outlineLevel="0" collapsed="false">
      <c r="A733" s="1" t="s">
        <v>569</v>
      </c>
      <c r="C733" s="3" t="s">
        <v>290</v>
      </c>
      <c r="D733" s="4" t="s">
        <v>571</v>
      </c>
      <c r="F733" s="6" t="s">
        <v>837</v>
      </c>
      <c r="G733" s="7" t="str">
        <f aca="false">HYPERLINK(CONCATENATE("http://crfop.gdos.gov.pl/CRFOP/widok/viewpomnikprzyrody.jsf?fop=","PL.ZIPOP.1393.PP.1013042.1233"),"(kliknij lub Ctrl+kliknij)")</f>
        <v>(kliknij lub Ctrl+kliknij)</v>
      </c>
      <c r="H733" s="0" t="s">
        <v>823</v>
      </c>
    </row>
    <row r="734" customFormat="false" ht="12.8" hidden="false" customHeight="false" outlineLevel="0" collapsed="false">
      <c r="A734" s="1" t="s">
        <v>569</v>
      </c>
      <c r="C734" s="3" t="s">
        <v>290</v>
      </c>
      <c r="D734" s="4" t="s">
        <v>571</v>
      </c>
      <c r="F734" s="6" t="s">
        <v>837</v>
      </c>
      <c r="G734" s="7" t="str">
        <f aca="false">HYPERLINK(CONCATENATE("http://crfop.gdos.gov.pl/CRFOP/widok/viewpomnikprzyrody.jsf?fop=","PL.ZIPOP.1393.PP.1013042.1234"),"(kliknij lub Ctrl+kliknij)")</f>
        <v>(kliknij lub Ctrl+kliknij)</v>
      </c>
      <c r="H734" s="0" t="s">
        <v>823</v>
      </c>
    </row>
    <row r="735" customFormat="false" ht="12.8" hidden="false" customHeight="false" outlineLevel="0" collapsed="false">
      <c r="A735" s="1" t="s">
        <v>569</v>
      </c>
      <c r="C735" s="3" t="s">
        <v>821</v>
      </c>
      <c r="D735" s="4" t="s">
        <v>571</v>
      </c>
      <c r="F735" s="6" t="s">
        <v>822</v>
      </c>
      <c r="G735" s="7" t="str">
        <f aca="false">HYPERLINK(CONCATENATE("http://crfop.gdos.gov.pl/CRFOP/widok/viewpomnikprzyrody.jsf?fop=","PL.ZIPOP.1393.PP.1013042.1236"),"(kliknij lub Ctrl+kliknij)")</f>
        <v>(kliknij lub Ctrl+kliknij)</v>
      </c>
      <c r="H735" s="0" t="s">
        <v>823</v>
      </c>
    </row>
    <row r="736" customFormat="false" ht="12.8" hidden="false" customHeight="false" outlineLevel="0" collapsed="false">
      <c r="A736" s="1" t="s">
        <v>569</v>
      </c>
      <c r="C736" s="3" t="s">
        <v>700</v>
      </c>
      <c r="D736" s="4" t="s">
        <v>571</v>
      </c>
      <c r="F736" s="6" t="s">
        <v>838</v>
      </c>
      <c r="G736" s="7" t="str">
        <f aca="false">HYPERLINK(CONCATENATE("http://crfop.gdos.gov.pl/CRFOP/widok/viewpomnikprzyrody.jsf?fop=","PL.ZIPOP.1393.PP.1013042.1237"),"(kliknij lub Ctrl+kliknij)")</f>
        <v>(kliknij lub Ctrl+kliknij)</v>
      </c>
      <c r="H736" s="0" t="s">
        <v>823</v>
      </c>
    </row>
    <row r="737" customFormat="false" ht="12.8" hidden="false" customHeight="false" outlineLevel="0" collapsed="false">
      <c r="A737" s="1" t="s">
        <v>569</v>
      </c>
      <c r="C737" s="3" t="s">
        <v>700</v>
      </c>
      <c r="D737" s="4" t="s">
        <v>571</v>
      </c>
      <c r="F737" s="6" t="s">
        <v>839</v>
      </c>
      <c r="G737" s="7" t="str">
        <f aca="false">HYPERLINK(CONCATENATE("http://crfop.gdos.gov.pl/CRFOP/widok/viewpomnikprzyrody.jsf?fop=","PL.ZIPOP.1393.PP.1013042.1238"),"(kliknij lub Ctrl+kliknij)")</f>
        <v>(kliknij lub Ctrl+kliknij)</v>
      </c>
      <c r="H737" s="0" t="s">
        <v>823</v>
      </c>
    </row>
    <row r="738" customFormat="false" ht="12.8" hidden="false" customHeight="false" outlineLevel="0" collapsed="false">
      <c r="A738" s="1" t="s">
        <v>569</v>
      </c>
      <c r="C738" s="3" t="s">
        <v>840</v>
      </c>
      <c r="D738" s="4" t="s">
        <v>571</v>
      </c>
      <c r="F738" s="6" t="s">
        <v>841</v>
      </c>
      <c r="G738" s="7" t="str">
        <f aca="false">HYPERLINK(CONCATENATE("http://crfop.gdos.gov.pl/CRFOP/widok/viewpomnikprzyrody.jsf?fop=","PL.ZIPOP.1393.PP.1013052.1141"),"(kliknij lub Ctrl+kliknij)")</f>
        <v>(kliknij lub Ctrl+kliknij)</v>
      </c>
      <c r="H738" s="0" t="s">
        <v>842</v>
      </c>
    </row>
    <row r="739" customFormat="false" ht="12.8" hidden="false" customHeight="false" outlineLevel="0" collapsed="false">
      <c r="A739" s="1" t="s">
        <v>569</v>
      </c>
      <c r="C739" s="3" t="s">
        <v>840</v>
      </c>
      <c r="D739" s="4" t="s">
        <v>571</v>
      </c>
      <c r="F739" s="6" t="s">
        <v>841</v>
      </c>
      <c r="G739" s="7" t="str">
        <f aca="false">HYPERLINK(CONCATENATE("http://crfop.gdos.gov.pl/CRFOP/widok/viewpomnikprzyrody.jsf?fop=","PL.ZIPOP.1393.PP.1013052.1142"),"(kliknij lub Ctrl+kliknij)")</f>
        <v>(kliknij lub Ctrl+kliknij)</v>
      </c>
      <c r="H739" s="0" t="s">
        <v>842</v>
      </c>
    </row>
    <row r="740" customFormat="false" ht="12.8" hidden="false" customHeight="false" outlineLevel="0" collapsed="false">
      <c r="A740" s="1" t="s">
        <v>569</v>
      </c>
      <c r="C740" s="3" t="s">
        <v>840</v>
      </c>
      <c r="D740" s="4" t="s">
        <v>571</v>
      </c>
      <c r="F740" s="6" t="s">
        <v>841</v>
      </c>
      <c r="G740" s="7" t="str">
        <f aca="false">HYPERLINK(CONCATENATE("http://crfop.gdos.gov.pl/CRFOP/widok/viewpomnikprzyrody.jsf?fop=","PL.ZIPOP.1393.PP.1013052.1143"),"(kliknij lub Ctrl+kliknij)")</f>
        <v>(kliknij lub Ctrl+kliknij)</v>
      </c>
      <c r="H740" s="0" t="s">
        <v>842</v>
      </c>
    </row>
    <row r="741" customFormat="false" ht="12.8" hidden="false" customHeight="false" outlineLevel="0" collapsed="false">
      <c r="A741" s="1" t="s">
        <v>569</v>
      </c>
      <c r="C741" s="3" t="s">
        <v>840</v>
      </c>
      <c r="D741" s="4" t="s">
        <v>571</v>
      </c>
      <c r="F741" s="6" t="s">
        <v>841</v>
      </c>
      <c r="G741" s="7" t="str">
        <f aca="false">HYPERLINK(CONCATENATE("http://crfop.gdos.gov.pl/CRFOP/widok/viewpomnikprzyrody.jsf?fop=","PL.ZIPOP.1393.PP.1013052.1144"),"(kliknij lub Ctrl+kliknij)")</f>
        <v>(kliknij lub Ctrl+kliknij)</v>
      </c>
      <c r="H741" s="0" t="s">
        <v>842</v>
      </c>
    </row>
    <row r="742" customFormat="false" ht="12.8" hidden="false" customHeight="false" outlineLevel="0" collapsed="false">
      <c r="A742" s="1" t="s">
        <v>569</v>
      </c>
      <c r="C742" s="3" t="s">
        <v>840</v>
      </c>
      <c r="D742" s="4" t="s">
        <v>571</v>
      </c>
      <c r="F742" s="6" t="s">
        <v>841</v>
      </c>
      <c r="G742" s="7" t="str">
        <f aca="false">HYPERLINK(CONCATENATE("http://crfop.gdos.gov.pl/CRFOP/widok/viewpomnikprzyrody.jsf?fop=","PL.ZIPOP.1393.PP.1013052.1145"),"(kliknij lub Ctrl+kliknij)")</f>
        <v>(kliknij lub Ctrl+kliknij)</v>
      </c>
      <c r="H742" s="0" t="s">
        <v>842</v>
      </c>
    </row>
    <row r="743" customFormat="false" ht="12.8" hidden="false" customHeight="false" outlineLevel="0" collapsed="false">
      <c r="A743" s="1" t="s">
        <v>569</v>
      </c>
      <c r="C743" s="3" t="s">
        <v>840</v>
      </c>
      <c r="D743" s="4" t="s">
        <v>571</v>
      </c>
      <c r="F743" s="6" t="s">
        <v>841</v>
      </c>
      <c r="G743" s="7" t="str">
        <f aca="false">HYPERLINK(CONCATENATE("http://crfop.gdos.gov.pl/CRFOP/widok/viewpomnikprzyrody.jsf?fop=","PL.ZIPOP.1393.PP.1013052.1146"),"(kliknij lub Ctrl+kliknij)")</f>
        <v>(kliknij lub Ctrl+kliknij)</v>
      </c>
      <c r="H743" s="0" t="s">
        <v>842</v>
      </c>
    </row>
    <row r="744" customFormat="false" ht="12.8" hidden="false" customHeight="false" outlineLevel="0" collapsed="false">
      <c r="A744" s="1" t="s">
        <v>569</v>
      </c>
      <c r="C744" s="3" t="s">
        <v>843</v>
      </c>
      <c r="D744" s="4" t="s">
        <v>571</v>
      </c>
      <c r="F744" s="6" t="s">
        <v>844</v>
      </c>
      <c r="G744" s="7" t="str">
        <f aca="false">HYPERLINK(CONCATENATE("http://crfop.gdos.gov.pl/CRFOP/widok/viewpomnikprzyrody.jsf?fop=","PL.ZIPOP.1393.PP.1013062.1147"),"(kliknij lub Ctrl+kliknij)")</f>
        <v>(kliknij lub Ctrl+kliknij)</v>
      </c>
      <c r="H744" s="0" t="s">
        <v>845</v>
      </c>
    </row>
    <row r="745" customFormat="false" ht="12.8" hidden="false" customHeight="false" outlineLevel="0" collapsed="false">
      <c r="A745" s="1" t="s">
        <v>569</v>
      </c>
      <c r="C745" s="3" t="s">
        <v>843</v>
      </c>
      <c r="D745" s="4" t="s">
        <v>571</v>
      </c>
      <c r="F745" s="6" t="s">
        <v>844</v>
      </c>
      <c r="G745" s="7" t="str">
        <f aca="false">HYPERLINK(CONCATENATE("http://crfop.gdos.gov.pl/CRFOP/widok/viewpomnikprzyrody.jsf?fop=","PL.ZIPOP.1393.PP.1013062.1148"),"(kliknij lub Ctrl+kliknij)")</f>
        <v>(kliknij lub Ctrl+kliknij)</v>
      </c>
      <c r="H745" s="0" t="s">
        <v>845</v>
      </c>
    </row>
    <row r="746" customFormat="false" ht="12.8" hidden="false" customHeight="false" outlineLevel="0" collapsed="false">
      <c r="A746" s="1" t="s">
        <v>569</v>
      </c>
      <c r="C746" s="3" t="s">
        <v>843</v>
      </c>
      <c r="D746" s="4" t="s">
        <v>571</v>
      </c>
      <c r="F746" s="6" t="s">
        <v>844</v>
      </c>
      <c r="G746" s="7" t="str">
        <f aca="false">HYPERLINK(CONCATENATE("http://crfop.gdos.gov.pl/CRFOP/widok/viewpomnikprzyrody.jsf?fop=","PL.ZIPOP.1393.PP.1013062.1149"),"(kliknij lub Ctrl+kliknij)")</f>
        <v>(kliknij lub Ctrl+kliknij)</v>
      </c>
      <c r="H746" s="0" t="s">
        <v>845</v>
      </c>
    </row>
    <row r="747" customFormat="false" ht="12.8" hidden="false" customHeight="false" outlineLevel="0" collapsed="false">
      <c r="A747" s="1" t="s">
        <v>569</v>
      </c>
      <c r="C747" s="3" t="s">
        <v>843</v>
      </c>
      <c r="D747" s="4" t="s">
        <v>571</v>
      </c>
      <c r="F747" s="6" t="s">
        <v>844</v>
      </c>
      <c r="G747" s="7" t="str">
        <f aca="false">HYPERLINK(CONCATENATE("http://crfop.gdos.gov.pl/CRFOP/widok/viewpomnikprzyrody.jsf?fop=","PL.ZIPOP.1393.PP.1013062.1150"),"(kliknij lub Ctrl+kliknij)")</f>
        <v>(kliknij lub Ctrl+kliknij)</v>
      </c>
      <c r="H747" s="0" t="s">
        <v>845</v>
      </c>
    </row>
    <row r="748" customFormat="false" ht="12.8" hidden="false" customHeight="false" outlineLevel="0" collapsed="false">
      <c r="A748" s="1" t="s">
        <v>569</v>
      </c>
      <c r="C748" s="3" t="s">
        <v>843</v>
      </c>
      <c r="D748" s="4" t="s">
        <v>571</v>
      </c>
      <c r="F748" s="6" t="s">
        <v>844</v>
      </c>
      <c r="G748" s="7" t="str">
        <f aca="false">HYPERLINK(CONCATENATE("http://crfop.gdos.gov.pl/CRFOP/widok/viewpomnikprzyrody.jsf?fop=","PL.ZIPOP.1393.PP.1013062.1151"),"(kliknij lub Ctrl+kliknij)")</f>
        <v>(kliknij lub Ctrl+kliknij)</v>
      </c>
      <c r="H748" s="0" t="s">
        <v>845</v>
      </c>
    </row>
    <row r="749" customFormat="false" ht="12.8" hidden="false" customHeight="false" outlineLevel="0" collapsed="false">
      <c r="A749" s="1" t="s">
        <v>569</v>
      </c>
      <c r="C749" s="3" t="s">
        <v>843</v>
      </c>
      <c r="D749" s="4" t="s">
        <v>571</v>
      </c>
      <c r="F749" s="6" t="s">
        <v>844</v>
      </c>
      <c r="G749" s="7" t="str">
        <f aca="false">HYPERLINK(CONCATENATE("http://crfop.gdos.gov.pl/CRFOP/widok/viewpomnikprzyrody.jsf?fop=","PL.ZIPOP.1393.PP.1013062.1152"),"(kliknij lub Ctrl+kliknij)")</f>
        <v>(kliknij lub Ctrl+kliknij)</v>
      </c>
      <c r="H749" s="0" t="s">
        <v>845</v>
      </c>
    </row>
    <row r="750" customFormat="false" ht="12.8" hidden="false" customHeight="false" outlineLevel="0" collapsed="false">
      <c r="A750" s="1" t="s">
        <v>569</v>
      </c>
      <c r="C750" s="3" t="s">
        <v>843</v>
      </c>
      <c r="D750" s="4" t="s">
        <v>571</v>
      </c>
      <c r="F750" s="6" t="s">
        <v>844</v>
      </c>
      <c r="G750" s="7" t="str">
        <f aca="false">HYPERLINK(CONCATENATE("http://crfop.gdos.gov.pl/CRFOP/widok/viewpomnikprzyrody.jsf?fop=","PL.ZIPOP.1393.PP.1013062.1153"),"(kliknij lub Ctrl+kliknij)")</f>
        <v>(kliknij lub Ctrl+kliknij)</v>
      </c>
      <c r="H750" s="0" t="s">
        <v>845</v>
      </c>
    </row>
    <row r="751" customFormat="false" ht="12.8" hidden="false" customHeight="false" outlineLevel="0" collapsed="false">
      <c r="A751" s="1" t="s">
        <v>569</v>
      </c>
      <c r="C751" s="3" t="s">
        <v>843</v>
      </c>
      <c r="D751" s="4" t="s">
        <v>571</v>
      </c>
      <c r="F751" s="6" t="s">
        <v>844</v>
      </c>
      <c r="G751" s="7" t="str">
        <f aca="false">HYPERLINK(CONCATENATE("http://crfop.gdos.gov.pl/CRFOP/widok/viewpomnikprzyrody.jsf?fop=","PL.ZIPOP.1393.PP.1013062.1154"),"(kliknij lub Ctrl+kliknij)")</f>
        <v>(kliknij lub Ctrl+kliknij)</v>
      </c>
      <c r="H751" s="0" t="s">
        <v>845</v>
      </c>
    </row>
    <row r="752" customFormat="false" ht="12.8" hidden="false" customHeight="false" outlineLevel="0" collapsed="false">
      <c r="A752" s="1" t="s">
        <v>569</v>
      </c>
      <c r="C752" s="3" t="s">
        <v>843</v>
      </c>
      <c r="D752" s="4" t="s">
        <v>571</v>
      </c>
      <c r="F752" s="6" t="s">
        <v>844</v>
      </c>
      <c r="G752" s="7" t="str">
        <f aca="false">HYPERLINK(CONCATENATE("http://crfop.gdos.gov.pl/CRFOP/widok/viewpomnikprzyrody.jsf?fop=","PL.ZIPOP.1393.PP.1013062.1155"),"(kliknij lub Ctrl+kliknij)")</f>
        <v>(kliknij lub Ctrl+kliknij)</v>
      </c>
      <c r="H752" s="0" t="s">
        <v>845</v>
      </c>
    </row>
    <row r="753" customFormat="false" ht="12.8" hidden="false" customHeight="false" outlineLevel="0" collapsed="false">
      <c r="A753" s="1" t="s">
        <v>569</v>
      </c>
      <c r="C753" s="3" t="s">
        <v>843</v>
      </c>
      <c r="D753" s="4" t="s">
        <v>571</v>
      </c>
      <c r="F753" s="6" t="s">
        <v>844</v>
      </c>
      <c r="G753" s="7" t="str">
        <f aca="false">HYPERLINK(CONCATENATE("http://crfop.gdos.gov.pl/CRFOP/widok/viewpomnikprzyrody.jsf?fop=","PL.ZIPOP.1393.PP.1013062.1156"),"(kliknij lub Ctrl+kliknij)")</f>
        <v>(kliknij lub Ctrl+kliknij)</v>
      </c>
      <c r="H753" s="0" t="s">
        <v>845</v>
      </c>
    </row>
    <row r="754" customFormat="false" ht="12.8" hidden="false" customHeight="false" outlineLevel="0" collapsed="false">
      <c r="A754" s="1" t="s">
        <v>569</v>
      </c>
      <c r="C754" s="3" t="s">
        <v>843</v>
      </c>
      <c r="D754" s="4" t="s">
        <v>571</v>
      </c>
      <c r="F754" s="6" t="s">
        <v>844</v>
      </c>
      <c r="G754" s="7" t="str">
        <f aca="false">HYPERLINK(CONCATENATE("http://crfop.gdos.gov.pl/CRFOP/widok/viewpomnikprzyrody.jsf?fop=","PL.ZIPOP.1393.PP.1013062.1157"),"(kliknij lub Ctrl+kliknij)")</f>
        <v>(kliknij lub Ctrl+kliknij)</v>
      </c>
      <c r="H754" s="0" t="s">
        <v>845</v>
      </c>
    </row>
    <row r="755" customFormat="false" ht="12.8" hidden="false" customHeight="false" outlineLevel="0" collapsed="false">
      <c r="A755" s="1" t="s">
        <v>569</v>
      </c>
      <c r="C755" s="3" t="s">
        <v>843</v>
      </c>
      <c r="D755" s="4" t="s">
        <v>571</v>
      </c>
      <c r="F755" s="6" t="s">
        <v>844</v>
      </c>
      <c r="G755" s="7" t="str">
        <f aca="false">HYPERLINK(CONCATENATE("http://crfop.gdos.gov.pl/CRFOP/widok/viewpomnikprzyrody.jsf?fop=","PL.ZIPOP.1393.PP.1013062.1158"),"(kliknij lub Ctrl+kliknij)")</f>
        <v>(kliknij lub Ctrl+kliknij)</v>
      </c>
      <c r="H755" s="0" t="s">
        <v>845</v>
      </c>
    </row>
    <row r="756" customFormat="false" ht="12.8" hidden="false" customHeight="false" outlineLevel="0" collapsed="false">
      <c r="A756" s="1" t="s">
        <v>569</v>
      </c>
      <c r="C756" s="3" t="s">
        <v>843</v>
      </c>
      <c r="D756" s="4" t="s">
        <v>571</v>
      </c>
      <c r="F756" s="6" t="s">
        <v>844</v>
      </c>
      <c r="G756" s="7" t="str">
        <f aca="false">HYPERLINK(CONCATENATE("http://crfop.gdos.gov.pl/CRFOP/widok/viewpomnikprzyrody.jsf?fop=","PL.ZIPOP.1393.PP.1013062.1159"),"(kliknij lub Ctrl+kliknij)")</f>
        <v>(kliknij lub Ctrl+kliknij)</v>
      </c>
      <c r="H756" s="0" t="s">
        <v>845</v>
      </c>
    </row>
    <row r="757" customFormat="false" ht="12.8" hidden="false" customHeight="false" outlineLevel="0" collapsed="false">
      <c r="A757" s="1" t="s">
        <v>569</v>
      </c>
      <c r="C757" s="3" t="s">
        <v>843</v>
      </c>
      <c r="D757" s="4" t="s">
        <v>571</v>
      </c>
      <c r="F757" s="6" t="s">
        <v>844</v>
      </c>
      <c r="G757" s="7" t="str">
        <f aca="false">HYPERLINK(CONCATENATE("http://crfop.gdos.gov.pl/CRFOP/widok/viewpomnikprzyrody.jsf?fop=","PL.ZIPOP.1393.PP.1013062.1160"),"(kliknij lub Ctrl+kliknij)")</f>
        <v>(kliknij lub Ctrl+kliknij)</v>
      </c>
      <c r="H757" s="0" t="s">
        <v>845</v>
      </c>
    </row>
    <row r="758" customFormat="false" ht="12.8" hidden="false" customHeight="false" outlineLevel="0" collapsed="false">
      <c r="A758" s="1" t="s">
        <v>569</v>
      </c>
      <c r="C758" s="3" t="s">
        <v>843</v>
      </c>
      <c r="D758" s="4" t="s">
        <v>571</v>
      </c>
      <c r="F758" s="6" t="s">
        <v>844</v>
      </c>
      <c r="G758" s="7" t="str">
        <f aca="false">HYPERLINK(CONCATENATE("http://crfop.gdos.gov.pl/CRFOP/widok/viewpomnikprzyrody.jsf?fop=","PL.ZIPOP.1393.PP.1013062.1161"),"(kliknij lub Ctrl+kliknij)")</f>
        <v>(kliknij lub Ctrl+kliknij)</v>
      </c>
      <c r="H758" s="0" t="s">
        <v>845</v>
      </c>
    </row>
    <row r="759" customFormat="false" ht="12.8" hidden="false" customHeight="false" outlineLevel="0" collapsed="false">
      <c r="A759" s="1" t="s">
        <v>569</v>
      </c>
      <c r="C759" s="3" t="s">
        <v>843</v>
      </c>
      <c r="D759" s="4" t="s">
        <v>571</v>
      </c>
      <c r="F759" s="6" t="s">
        <v>844</v>
      </c>
      <c r="G759" s="7" t="str">
        <f aca="false">HYPERLINK(CONCATENATE("http://crfop.gdos.gov.pl/CRFOP/widok/viewpomnikprzyrody.jsf?fop=","PL.ZIPOP.1393.PP.1013062.1162"),"(kliknij lub Ctrl+kliknij)")</f>
        <v>(kliknij lub Ctrl+kliknij)</v>
      </c>
      <c r="H759" s="0" t="s">
        <v>845</v>
      </c>
    </row>
    <row r="760" customFormat="false" ht="12.8" hidden="false" customHeight="false" outlineLevel="0" collapsed="false">
      <c r="A760" s="1" t="s">
        <v>569</v>
      </c>
      <c r="C760" s="3" t="s">
        <v>843</v>
      </c>
      <c r="D760" s="4" t="s">
        <v>571</v>
      </c>
      <c r="F760" s="6" t="s">
        <v>844</v>
      </c>
      <c r="G760" s="7" t="str">
        <f aca="false">HYPERLINK(CONCATENATE("http://crfop.gdos.gov.pl/CRFOP/widok/viewpomnikprzyrody.jsf?fop=","PL.ZIPOP.1393.PP.1013062.1163"),"(kliknij lub Ctrl+kliknij)")</f>
        <v>(kliknij lub Ctrl+kliknij)</v>
      </c>
      <c r="H760" s="0" t="s">
        <v>845</v>
      </c>
    </row>
    <row r="761" customFormat="false" ht="12.8" hidden="false" customHeight="false" outlineLevel="0" collapsed="false">
      <c r="A761" s="1" t="s">
        <v>569</v>
      </c>
      <c r="C761" s="3" t="s">
        <v>702</v>
      </c>
      <c r="D761" s="4" t="s">
        <v>571</v>
      </c>
      <c r="F761" s="6" t="s">
        <v>703</v>
      </c>
      <c r="G761" s="7" t="str">
        <f aca="false">HYPERLINK(CONCATENATE("http://crfop.gdos.gov.pl/CRFOP/widok/viewpomnikprzyrody.jsf?fop=","PL.ZIPOP.1393.PP.1013062.1167"),"(kliknij lub Ctrl+kliknij)")</f>
        <v>(kliknij lub Ctrl+kliknij)</v>
      </c>
      <c r="H761" s="0" t="s">
        <v>845</v>
      </c>
    </row>
    <row r="762" customFormat="false" ht="12.8" hidden="false" customHeight="false" outlineLevel="0" collapsed="false">
      <c r="A762" s="1" t="s">
        <v>569</v>
      </c>
      <c r="C762" s="3" t="s">
        <v>702</v>
      </c>
      <c r="D762" s="4" t="s">
        <v>571</v>
      </c>
      <c r="F762" s="6" t="s">
        <v>703</v>
      </c>
      <c r="G762" s="7" t="str">
        <f aca="false">HYPERLINK(CONCATENATE("http://crfop.gdos.gov.pl/CRFOP/widok/viewpomnikprzyrody.jsf?fop=","PL.ZIPOP.1393.PP.1013062.1168"),"(kliknij lub Ctrl+kliknij)")</f>
        <v>(kliknij lub Ctrl+kliknij)</v>
      </c>
      <c r="H762" s="0" t="s">
        <v>845</v>
      </c>
    </row>
    <row r="763" customFormat="false" ht="12.8" hidden="false" customHeight="false" outlineLevel="0" collapsed="false">
      <c r="A763" s="1" t="s">
        <v>569</v>
      </c>
      <c r="C763" s="3" t="s">
        <v>702</v>
      </c>
      <c r="D763" s="4" t="s">
        <v>571</v>
      </c>
      <c r="F763" s="6" t="s">
        <v>703</v>
      </c>
      <c r="G763" s="7" t="str">
        <f aca="false">HYPERLINK(CONCATENATE("http://crfop.gdos.gov.pl/CRFOP/widok/viewpomnikprzyrody.jsf?fop=","PL.ZIPOP.1393.PP.1013062.1169"),"(kliknij lub Ctrl+kliknij)")</f>
        <v>(kliknij lub Ctrl+kliknij)</v>
      </c>
      <c r="H763" s="0" t="s">
        <v>845</v>
      </c>
    </row>
    <row r="764" customFormat="false" ht="12.8" hidden="false" customHeight="false" outlineLevel="0" collapsed="false">
      <c r="A764" s="1" t="s">
        <v>569</v>
      </c>
      <c r="C764" s="3" t="s">
        <v>702</v>
      </c>
      <c r="D764" s="4" t="s">
        <v>571</v>
      </c>
      <c r="F764" s="6" t="s">
        <v>703</v>
      </c>
      <c r="G764" s="7" t="str">
        <f aca="false">HYPERLINK(CONCATENATE("http://crfop.gdos.gov.pl/CRFOP/widok/viewpomnikprzyrody.jsf?fop=","PL.ZIPOP.1393.PP.1013062.1170"),"(kliknij lub Ctrl+kliknij)")</f>
        <v>(kliknij lub Ctrl+kliknij)</v>
      </c>
      <c r="H764" s="0" t="s">
        <v>845</v>
      </c>
    </row>
    <row r="765" customFormat="false" ht="12.8" hidden="false" customHeight="false" outlineLevel="0" collapsed="false">
      <c r="A765" s="1" t="s">
        <v>569</v>
      </c>
      <c r="C765" s="3" t="s">
        <v>702</v>
      </c>
      <c r="D765" s="4" t="s">
        <v>571</v>
      </c>
      <c r="F765" s="6" t="s">
        <v>703</v>
      </c>
      <c r="G765" s="7" t="str">
        <f aca="false">HYPERLINK(CONCATENATE("http://crfop.gdos.gov.pl/CRFOP/widok/viewpomnikprzyrody.jsf?fop=","PL.ZIPOP.1393.PP.1013062.1171"),"(kliknij lub Ctrl+kliknij)")</f>
        <v>(kliknij lub Ctrl+kliknij)</v>
      </c>
      <c r="H765" s="0" t="s">
        <v>845</v>
      </c>
    </row>
    <row r="766" customFormat="false" ht="12.8" hidden="false" customHeight="false" outlineLevel="0" collapsed="false">
      <c r="A766" s="1" t="s">
        <v>569</v>
      </c>
      <c r="C766" s="3" t="s">
        <v>702</v>
      </c>
      <c r="D766" s="4" t="s">
        <v>571</v>
      </c>
      <c r="F766" s="6" t="s">
        <v>703</v>
      </c>
      <c r="G766" s="7" t="str">
        <f aca="false">HYPERLINK(CONCATENATE("http://crfop.gdos.gov.pl/CRFOP/widok/viewpomnikprzyrody.jsf?fop=","PL.ZIPOP.1393.PP.1013062.1172"),"(kliknij lub Ctrl+kliknij)")</f>
        <v>(kliknij lub Ctrl+kliknij)</v>
      </c>
      <c r="H766" s="0" t="s">
        <v>845</v>
      </c>
    </row>
    <row r="767" customFormat="false" ht="12.8" hidden="false" customHeight="false" outlineLevel="0" collapsed="false">
      <c r="A767" s="1" t="s">
        <v>569</v>
      </c>
      <c r="C767" s="3" t="s">
        <v>702</v>
      </c>
      <c r="D767" s="4" t="s">
        <v>571</v>
      </c>
      <c r="F767" s="6" t="s">
        <v>703</v>
      </c>
      <c r="G767" s="7" t="str">
        <f aca="false">HYPERLINK(CONCATENATE("http://crfop.gdos.gov.pl/CRFOP/widok/viewpomnikprzyrody.jsf?fop=","PL.ZIPOP.1393.PP.1013062.1173"),"(kliknij lub Ctrl+kliknij)")</f>
        <v>(kliknij lub Ctrl+kliknij)</v>
      </c>
      <c r="H767" s="0" t="s">
        <v>845</v>
      </c>
    </row>
    <row r="768" customFormat="false" ht="12.8" hidden="false" customHeight="false" outlineLevel="0" collapsed="false">
      <c r="A768" s="1" t="s">
        <v>569</v>
      </c>
      <c r="C768" s="3" t="s">
        <v>702</v>
      </c>
      <c r="D768" s="4" t="s">
        <v>571</v>
      </c>
      <c r="F768" s="6" t="s">
        <v>703</v>
      </c>
      <c r="G768" s="7" t="str">
        <f aca="false">HYPERLINK(CONCATENATE("http://crfop.gdos.gov.pl/CRFOP/widok/viewpomnikprzyrody.jsf?fop=","PL.ZIPOP.1393.PP.1013062.1174"),"(kliknij lub Ctrl+kliknij)")</f>
        <v>(kliknij lub Ctrl+kliknij)</v>
      </c>
      <c r="H768" s="0" t="s">
        <v>845</v>
      </c>
    </row>
    <row r="769" customFormat="false" ht="12.8" hidden="false" customHeight="false" outlineLevel="0" collapsed="false">
      <c r="A769" s="1" t="s">
        <v>569</v>
      </c>
      <c r="C769" s="3" t="s">
        <v>702</v>
      </c>
      <c r="D769" s="4" t="s">
        <v>571</v>
      </c>
      <c r="F769" s="6" t="s">
        <v>703</v>
      </c>
      <c r="G769" s="7" t="str">
        <f aca="false">HYPERLINK(CONCATENATE("http://crfop.gdos.gov.pl/CRFOP/widok/viewpomnikprzyrody.jsf?fop=","PL.ZIPOP.1393.PP.1013062.1175"),"(kliknij lub Ctrl+kliknij)")</f>
        <v>(kliknij lub Ctrl+kliknij)</v>
      </c>
      <c r="H769" s="0" t="s">
        <v>845</v>
      </c>
    </row>
    <row r="770" customFormat="false" ht="12.8" hidden="false" customHeight="false" outlineLevel="0" collapsed="false">
      <c r="A770" s="1" t="s">
        <v>569</v>
      </c>
      <c r="C770" s="3" t="s">
        <v>702</v>
      </c>
      <c r="D770" s="4" t="s">
        <v>571</v>
      </c>
      <c r="F770" s="6" t="s">
        <v>703</v>
      </c>
      <c r="G770" s="7" t="str">
        <f aca="false">HYPERLINK(CONCATENATE("http://crfop.gdos.gov.pl/CRFOP/widok/viewpomnikprzyrody.jsf?fop=","PL.ZIPOP.1393.PP.1013062.1176"),"(kliknij lub Ctrl+kliknij)")</f>
        <v>(kliknij lub Ctrl+kliknij)</v>
      </c>
      <c r="H770" s="0" t="s">
        <v>845</v>
      </c>
    </row>
    <row r="771" customFormat="false" ht="12.8" hidden="false" customHeight="false" outlineLevel="0" collapsed="false">
      <c r="A771" s="1" t="s">
        <v>569</v>
      </c>
      <c r="C771" s="3" t="s">
        <v>702</v>
      </c>
      <c r="D771" s="4" t="s">
        <v>571</v>
      </c>
      <c r="F771" s="6" t="s">
        <v>703</v>
      </c>
      <c r="G771" s="7" t="str">
        <f aca="false">HYPERLINK(CONCATENATE("http://crfop.gdos.gov.pl/CRFOP/widok/viewpomnikprzyrody.jsf?fop=","PL.ZIPOP.1393.PP.1013062.1177"),"(kliknij lub Ctrl+kliknij)")</f>
        <v>(kliknij lub Ctrl+kliknij)</v>
      </c>
      <c r="H771" s="0" t="s">
        <v>845</v>
      </c>
    </row>
    <row r="772" customFormat="false" ht="12.8" hidden="false" customHeight="false" outlineLevel="0" collapsed="false">
      <c r="A772" s="1" t="s">
        <v>569</v>
      </c>
      <c r="C772" s="3" t="s">
        <v>702</v>
      </c>
      <c r="D772" s="4" t="s">
        <v>571</v>
      </c>
      <c r="F772" s="6" t="s">
        <v>703</v>
      </c>
      <c r="G772" s="7" t="str">
        <f aca="false">HYPERLINK(CONCATENATE("http://crfop.gdos.gov.pl/CRFOP/widok/viewpomnikprzyrody.jsf?fop=","PL.ZIPOP.1393.PP.1013062.1178"),"(kliknij lub Ctrl+kliknij)")</f>
        <v>(kliknij lub Ctrl+kliknij)</v>
      </c>
      <c r="H772" s="0" t="s">
        <v>845</v>
      </c>
    </row>
    <row r="773" customFormat="false" ht="12.8" hidden="false" customHeight="false" outlineLevel="0" collapsed="false">
      <c r="A773" s="1" t="s">
        <v>569</v>
      </c>
      <c r="C773" s="3" t="s">
        <v>702</v>
      </c>
      <c r="D773" s="4" t="s">
        <v>571</v>
      </c>
      <c r="F773" s="6" t="s">
        <v>703</v>
      </c>
      <c r="G773" s="7" t="str">
        <f aca="false">HYPERLINK(CONCATENATE("http://crfop.gdos.gov.pl/CRFOP/widok/viewpomnikprzyrody.jsf?fop=","PL.ZIPOP.1393.PP.1013062.1179"),"(kliknij lub Ctrl+kliknij)")</f>
        <v>(kliknij lub Ctrl+kliknij)</v>
      </c>
      <c r="H773" s="0" t="s">
        <v>845</v>
      </c>
    </row>
    <row r="774" customFormat="false" ht="12.8" hidden="false" customHeight="false" outlineLevel="0" collapsed="false">
      <c r="A774" s="1" t="s">
        <v>569</v>
      </c>
      <c r="C774" s="3" t="s">
        <v>702</v>
      </c>
      <c r="D774" s="4" t="s">
        <v>571</v>
      </c>
      <c r="F774" s="6" t="s">
        <v>703</v>
      </c>
      <c r="G774" s="7" t="str">
        <f aca="false">HYPERLINK(CONCATENATE("http://crfop.gdos.gov.pl/CRFOP/widok/viewpomnikprzyrody.jsf?fop=","PL.ZIPOP.1393.PP.1013062.1180"),"(kliknij lub Ctrl+kliknij)")</f>
        <v>(kliknij lub Ctrl+kliknij)</v>
      </c>
      <c r="H774" s="0" t="s">
        <v>845</v>
      </c>
    </row>
    <row r="775" customFormat="false" ht="12.8" hidden="false" customHeight="false" outlineLevel="0" collapsed="false">
      <c r="A775" s="1" t="s">
        <v>569</v>
      </c>
      <c r="C775" s="3" t="s">
        <v>702</v>
      </c>
      <c r="D775" s="4" t="s">
        <v>571</v>
      </c>
      <c r="F775" s="6" t="s">
        <v>703</v>
      </c>
      <c r="G775" s="7" t="str">
        <f aca="false">HYPERLINK(CONCATENATE("http://crfop.gdos.gov.pl/CRFOP/widok/viewpomnikprzyrody.jsf?fop=","PL.ZIPOP.1393.PP.1013062.1181"),"(kliknij lub Ctrl+kliknij)")</f>
        <v>(kliknij lub Ctrl+kliknij)</v>
      </c>
      <c r="H775" s="0" t="s">
        <v>845</v>
      </c>
    </row>
    <row r="776" customFormat="false" ht="12.8" hidden="false" customHeight="false" outlineLevel="0" collapsed="false">
      <c r="A776" s="1" t="s">
        <v>569</v>
      </c>
      <c r="C776" s="3" t="s">
        <v>702</v>
      </c>
      <c r="D776" s="4" t="s">
        <v>571</v>
      </c>
      <c r="F776" s="6" t="s">
        <v>703</v>
      </c>
      <c r="G776" s="7" t="str">
        <f aca="false">HYPERLINK(CONCATENATE("http://crfop.gdos.gov.pl/CRFOP/widok/viewpomnikprzyrody.jsf?fop=","PL.ZIPOP.1393.PP.1013062.1182"),"(kliknij lub Ctrl+kliknij)")</f>
        <v>(kliknij lub Ctrl+kliknij)</v>
      </c>
      <c r="H776" s="0" t="s">
        <v>845</v>
      </c>
    </row>
    <row r="777" customFormat="false" ht="12.8" hidden="false" customHeight="false" outlineLevel="0" collapsed="false">
      <c r="A777" s="1" t="s">
        <v>569</v>
      </c>
      <c r="C777" s="3" t="s">
        <v>702</v>
      </c>
      <c r="D777" s="4" t="s">
        <v>571</v>
      </c>
      <c r="F777" s="6" t="s">
        <v>703</v>
      </c>
      <c r="G777" s="7" t="str">
        <f aca="false">HYPERLINK(CONCATENATE("http://crfop.gdos.gov.pl/CRFOP/widok/viewpomnikprzyrody.jsf?fop=","PL.ZIPOP.1393.PP.1013062.1183"),"(kliknij lub Ctrl+kliknij)")</f>
        <v>(kliknij lub Ctrl+kliknij)</v>
      </c>
      <c r="H777" s="0" t="s">
        <v>845</v>
      </c>
    </row>
    <row r="778" customFormat="false" ht="12.8" hidden="false" customHeight="false" outlineLevel="0" collapsed="false">
      <c r="A778" s="1" t="s">
        <v>569</v>
      </c>
      <c r="C778" s="3" t="s">
        <v>702</v>
      </c>
      <c r="D778" s="4" t="s">
        <v>571</v>
      </c>
      <c r="F778" s="6" t="s">
        <v>703</v>
      </c>
      <c r="G778" s="7" t="str">
        <f aca="false">HYPERLINK(CONCATENATE("http://crfop.gdos.gov.pl/CRFOP/widok/viewpomnikprzyrody.jsf?fop=","PL.ZIPOP.1393.PP.1013062.1184"),"(kliknij lub Ctrl+kliknij)")</f>
        <v>(kliknij lub Ctrl+kliknij)</v>
      </c>
      <c r="H778" s="0" t="s">
        <v>845</v>
      </c>
    </row>
    <row r="779" customFormat="false" ht="12.8" hidden="false" customHeight="false" outlineLevel="0" collapsed="false">
      <c r="A779" s="1" t="s">
        <v>569</v>
      </c>
      <c r="C779" s="3" t="s">
        <v>702</v>
      </c>
      <c r="D779" s="4" t="s">
        <v>571</v>
      </c>
      <c r="F779" s="6" t="s">
        <v>703</v>
      </c>
      <c r="G779" s="7" t="str">
        <f aca="false">HYPERLINK(CONCATENATE("http://crfop.gdos.gov.pl/CRFOP/widok/viewpomnikprzyrody.jsf?fop=","PL.ZIPOP.1393.PP.1013062.1185"),"(kliknij lub Ctrl+kliknij)")</f>
        <v>(kliknij lub Ctrl+kliknij)</v>
      </c>
      <c r="H779" s="0" t="s">
        <v>845</v>
      </c>
    </row>
    <row r="780" customFormat="false" ht="12.8" hidden="false" customHeight="false" outlineLevel="0" collapsed="false">
      <c r="A780" s="1" t="s">
        <v>569</v>
      </c>
      <c r="C780" s="3" t="s">
        <v>702</v>
      </c>
      <c r="D780" s="4" t="s">
        <v>571</v>
      </c>
      <c r="F780" s="6" t="s">
        <v>703</v>
      </c>
      <c r="G780" s="7" t="str">
        <f aca="false">HYPERLINK(CONCATENATE("http://crfop.gdos.gov.pl/CRFOP/widok/viewpomnikprzyrody.jsf?fop=","PL.ZIPOP.1393.PP.1013062.1186"),"(kliknij lub Ctrl+kliknij)")</f>
        <v>(kliknij lub Ctrl+kliknij)</v>
      </c>
      <c r="H780" s="0" t="s">
        <v>845</v>
      </c>
    </row>
    <row r="781" customFormat="false" ht="12.8" hidden="false" customHeight="false" outlineLevel="0" collapsed="false">
      <c r="A781" s="1" t="s">
        <v>569</v>
      </c>
      <c r="C781" s="3" t="s">
        <v>702</v>
      </c>
      <c r="D781" s="4" t="s">
        <v>571</v>
      </c>
      <c r="F781" s="6" t="s">
        <v>703</v>
      </c>
      <c r="G781" s="7" t="str">
        <f aca="false">HYPERLINK(CONCATENATE("http://crfop.gdos.gov.pl/CRFOP/widok/viewpomnikprzyrody.jsf?fop=","PL.ZIPOP.1393.PP.1013062.1187"),"(kliknij lub Ctrl+kliknij)")</f>
        <v>(kliknij lub Ctrl+kliknij)</v>
      </c>
      <c r="H781" s="0" t="s">
        <v>845</v>
      </c>
    </row>
    <row r="782" customFormat="false" ht="12.8" hidden="false" customHeight="false" outlineLevel="0" collapsed="false">
      <c r="A782" s="1" t="s">
        <v>569</v>
      </c>
      <c r="C782" s="3" t="s">
        <v>702</v>
      </c>
      <c r="D782" s="4" t="s">
        <v>571</v>
      </c>
      <c r="F782" s="6" t="s">
        <v>703</v>
      </c>
      <c r="G782" s="7" t="str">
        <f aca="false">HYPERLINK(CONCATENATE("http://crfop.gdos.gov.pl/CRFOP/widok/viewpomnikprzyrody.jsf?fop=","PL.ZIPOP.1393.PP.1013062.1188"),"(kliknij lub Ctrl+kliknij)")</f>
        <v>(kliknij lub Ctrl+kliknij)</v>
      </c>
      <c r="H782" s="0" t="s">
        <v>845</v>
      </c>
    </row>
    <row r="783" customFormat="false" ht="12.8" hidden="false" customHeight="false" outlineLevel="0" collapsed="false">
      <c r="A783" s="1" t="s">
        <v>569</v>
      </c>
      <c r="C783" s="3" t="s">
        <v>702</v>
      </c>
      <c r="D783" s="4" t="s">
        <v>571</v>
      </c>
      <c r="F783" s="6" t="s">
        <v>703</v>
      </c>
      <c r="G783" s="7" t="str">
        <f aca="false">HYPERLINK(CONCATENATE("http://crfop.gdos.gov.pl/CRFOP/widok/viewpomnikprzyrody.jsf?fop=","PL.ZIPOP.1393.PP.1013062.1189"),"(kliknij lub Ctrl+kliknij)")</f>
        <v>(kliknij lub Ctrl+kliknij)</v>
      </c>
      <c r="H783" s="0" t="s">
        <v>845</v>
      </c>
    </row>
    <row r="784" customFormat="false" ht="12.8" hidden="false" customHeight="false" outlineLevel="0" collapsed="false">
      <c r="A784" s="1" t="s">
        <v>569</v>
      </c>
      <c r="C784" s="3" t="s">
        <v>702</v>
      </c>
      <c r="D784" s="4" t="s">
        <v>571</v>
      </c>
      <c r="F784" s="6" t="s">
        <v>703</v>
      </c>
      <c r="G784" s="7" t="str">
        <f aca="false">HYPERLINK(CONCATENATE("http://crfop.gdos.gov.pl/CRFOP/widok/viewpomnikprzyrody.jsf?fop=","PL.ZIPOP.1393.PP.1013062.1190"),"(kliknij lub Ctrl+kliknij)")</f>
        <v>(kliknij lub Ctrl+kliknij)</v>
      </c>
      <c r="H784" s="0" t="s">
        <v>845</v>
      </c>
    </row>
    <row r="785" customFormat="false" ht="12.8" hidden="false" customHeight="false" outlineLevel="0" collapsed="false">
      <c r="A785" s="1" t="s">
        <v>569</v>
      </c>
      <c r="C785" s="3" t="s">
        <v>702</v>
      </c>
      <c r="D785" s="4" t="s">
        <v>571</v>
      </c>
      <c r="F785" s="6" t="s">
        <v>703</v>
      </c>
      <c r="G785" s="7" t="str">
        <f aca="false">HYPERLINK(CONCATENATE("http://crfop.gdos.gov.pl/CRFOP/widok/viewpomnikprzyrody.jsf?fop=","PL.ZIPOP.1393.PP.1013062.1191"),"(kliknij lub Ctrl+kliknij)")</f>
        <v>(kliknij lub Ctrl+kliknij)</v>
      </c>
      <c r="H785" s="0" t="s">
        <v>845</v>
      </c>
    </row>
    <row r="786" customFormat="false" ht="12.8" hidden="false" customHeight="false" outlineLevel="0" collapsed="false">
      <c r="A786" s="1" t="s">
        <v>569</v>
      </c>
      <c r="C786" s="3" t="s">
        <v>700</v>
      </c>
      <c r="D786" s="4" t="s">
        <v>571</v>
      </c>
      <c r="F786" s="6" t="s">
        <v>846</v>
      </c>
      <c r="G786" s="7" t="str">
        <f aca="false">HYPERLINK(CONCATENATE("http://crfop.gdos.gov.pl/CRFOP/widok/viewpomnikprzyrody.jsf?fop=","PL.ZIPOP.1393.PP.1013062.1193"),"(kliknij lub Ctrl+kliknij)")</f>
        <v>(kliknij lub Ctrl+kliknij)</v>
      </c>
      <c r="H786" s="0" t="s">
        <v>845</v>
      </c>
    </row>
    <row r="787" customFormat="false" ht="12.8" hidden="false" customHeight="false" outlineLevel="0" collapsed="false">
      <c r="A787" s="1" t="s">
        <v>569</v>
      </c>
      <c r="C787" s="3" t="s">
        <v>584</v>
      </c>
      <c r="D787" s="4" t="s">
        <v>571</v>
      </c>
      <c r="F787" s="6" t="s">
        <v>585</v>
      </c>
      <c r="G787" s="7" t="str">
        <f aca="false">HYPERLINK(CONCATENATE("http://crfop.gdos.gov.pl/CRFOP/widok/viewpomnikprzyrody.jsf?fop=","PL.ZIPOP.1393.PP.1014011.1697"),"(kliknij lub Ctrl+kliknij)")</f>
        <v>(kliknij lub Ctrl+kliknij)</v>
      </c>
      <c r="H787" s="0" t="s">
        <v>847</v>
      </c>
    </row>
    <row r="788" customFormat="false" ht="12.8" hidden="false" customHeight="false" outlineLevel="0" collapsed="false">
      <c r="A788" s="1" t="s">
        <v>569</v>
      </c>
      <c r="C788" s="3" t="s">
        <v>584</v>
      </c>
      <c r="D788" s="4" t="s">
        <v>571</v>
      </c>
      <c r="F788" s="6" t="s">
        <v>848</v>
      </c>
      <c r="G788" s="7" t="str">
        <f aca="false">HYPERLINK(CONCATENATE("http://crfop.gdos.gov.pl/CRFOP/widok/viewpomnikprzyrody.jsf?fop=","PL.ZIPOP.1393.PP.1014011.1698"),"(kliknij lub Ctrl+kliknij)")</f>
        <v>(kliknij lub Ctrl+kliknij)</v>
      </c>
      <c r="H788" s="0" t="s">
        <v>847</v>
      </c>
    </row>
    <row r="789" customFormat="false" ht="12.8" hidden="false" customHeight="false" outlineLevel="0" collapsed="false">
      <c r="A789" s="1" t="s">
        <v>569</v>
      </c>
      <c r="C789" s="3" t="s">
        <v>584</v>
      </c>
      <c r="D789" s="4" t="s">
        <v>571</v>
      </c>
      <c r="F789" s="6" t="s">
        <v>585</v>
      </c>
      <c r="G789" s="7" t="str">
        <f aca="false">HYPERLINK(CONCATENATE("http://crfop.gdos.gov.pl/CRFOP/widok/viewpomnikprzyrody.jsf?fop=","PL.ZIPOP.1393.PP.1014011.1699"),"(kliknij lub Ctrl+kliknij)")</f>
        <v>(kliknij lub Ctrl+kliknij)</v>
      </c>
      <c r="H789" s="0" t="s">
        <v>847</v>
      </c>
    </row>
    <row r="790" customFormat="false" ht="12.8" hidden="false" customHeight="false" outlineLevel="0" collapsed="false">
      <c r="A790" s="1" t="s">
        <v>569</v>
      </c>
      <c r="C790" s="3" t="s">
        <v>584</v>
      </c>
      <c r="D790" s="4" t="s">
        <v>571</v>
      </c>
      <c r="F790" s="6" t="s">
        <v>585</v>
      </c>
      <c r="G790" s="7" t="str">
        <f aca="false">HYPERLINK(CONCATENATE("http://crfop.gdos.gov.pl/CRFOP/widok/viewpomnikprzyrody.jsf?fop=","PL.ZIPOP.1393.PP.1014011.1700"),"(kliknij lub Ctrl+kliknij)")</f>
        <v>(kliknij lub Ctrl+kliknij)</v>
      </c>
      <c r="H790" s="0" t="s">
        <v>847</v>
      </c>
    </row>
    <row r="791" customFormat="false" ht="12.8" hidden="false" customHeight="false" outlineLevel="0" collapsed="false">
      <c r="A791" s="1" t="s">
        <v>569</v>
      </c>
      <c r="C791" s="3" t="s">
        <v>584</v>
      </c>
      <c r="D791" s="4" t="s">
        <v>571</v>
      </c>
      <c r="F791" s="6" t="s">
        <v>585</v>
      </c>
      <c r="G791" s="7" t="str">
        <f aca="false">HYPERLINK(CONCATENATE("http://crfop.gdos.gov.pl/CRFOP/widok/viewpomnikprzyrody.jsf?fop=","PL.ZIPOP.1393.PP.1014011.1702"),"(kliknij lub Ctrl+kliknij)")</f>
        <v>(kliknij lub Ctrl+kliknij)</v>
      </c>
      <c r="H791" s="0" t="s">
        <v>847</v>
      </c>
    </row>
    <row r="792" customFormat="false" ht="12.8" hidden="false" customHeight="false" outlineLevel="0" collapsed="false">
      <c r="A792" s="1" t="s">
        <v>569</v>
      </c>
      <c r="C792" s="3" t="s">
        <v>584</v>
      </c>
      <c r="D792" s="4" t="s">
        <v>571</v>
      </c>
      <c r="F792" s="6" t="s">
        <v>585</v>
      </c>
      <c r="G792" s="7" t="str">
        <f aca="false">HYPERLINK(CONCATENATE("http://crfop.gdos.gov.pl/CRFOP/widok/viewpomnikprzyrody.jsf?fop=","PL.ZIPOP.1393.PP.1014011.1703"),"(kliknij lub Ctrl+kliknij)")</f>
        <v>(kliknij lub Ctrl+kliknij)</v>
      </c>
      <c r="H792" s="0" t="s">
        <v>847</v>
      </c>
    </row>
    <row r="793" customFormat="false" ht="12.8" hidden="false" customHeight="false" outlineLevel="0" collapsed="false">
      <c r="A793" s="1" t="s">
        <v>569</v>
      </c>
      <c r="C793" s="3" t="s">
        <v>584</v>
      </c>
      <c r="D793" s="4" t="s">
        <v>571</v>
      </c>
      <c r="F793" s="6" t="s">
        <v>585</v>
      </c>
      <c r="G793" s="7" t="str">
        <f aca="false">HYPERLINK(CONCATENATE("http://crfop.gdos.gov.pl/CRFOP/widok/viewpomnikprzyrody.jsf?fop=","PL.ZIPOP.1393.PP.1014011.1704"),"(kliknij lub Ctrl+kliknij)")</f>
        <v>(kliknij lub Ctrl+kliknij)</v>
      </c>
      <c r="H793" s="0" t="s">
        <v>847</v>
      </c>
    </row>
    <row r="794" customFormat="false" ht="12.8" hidden="false" customHeight="false" outlineLevel="0" collapsed="false">
      <c r="A794" s="1" t="s">
        <v>569</v>
      </c>
      <c r="C794" s="3" t="s">
        <v>584</v>
      </c>
      <c r="D794" s="4" t="s">
        <v>571</v>
      </c>
      <c r="F794" s="6" t="s">
        <v>585</v>
      </c>
      <c r="G794" s="7" t="str">
        <f aca="false">HYPERLINK(CONCATENATE("http://crfop.gdos.gov.pl/CRFOP/widok/viewpomnikprzyrody.jsf?fop=","PL.ZIPOP.1393.PP.1014011.1705"),"(kliknij lub Ctrl+kliknij)")</f>
        <v>(kliknij lub Ctrl+kliknij)</v>
      </c>
      <c r="H794" s="0" t="s">
        <v>847</v>
      </c>
    </row>
    <row r="795" customFormat="false" ht="12.8" hidden="false" customHeight="false" outlineLevel="0" collapsed="false">
      <c r="A795" s="1" t="s">
        <v>569</v>
      </c>
      <c r="C795" s="3" t="s">
        <v>584</v>
      </c>
      <c r="D795" s="4" t="s">
        <v>571</v>
      </c>
      <c r="F795" s="6" t="s">
        <v>848</v>
      </c>
      <c r="G795" s="7" t="str">
        <f aca="false">HYPERLINK(CONCATENATE("http://crfop.gdos.gov.pl/CRFOP/widok/viewpomnikprzyrody.jsf?fop=","PL.ZIPOP.1393.PP.1014011.1706"),"(kliknij lub Ctrl+kliknij)")</f>
        <v>(kliknij lub Ctrl+kliknij)</v>
      </c>
      <c r="H795" s="0" t="s">
        <v>847</v>
      </c>
    </row>
    <row r="796" customFormat="false" ht="12.8" hidden="false" customHeight="false" outlineLevel="0" collapsed="false">
      <c r="A796" s="1" t="s">
        <v>569</v>
      </c>
      <c r="C796" s="3" t="s">
        <v>584</v>
      </c>
      <c r="D796" s="4" t="s">
        <v>571</v>
      </c>
      <c r="F796" s="6" t="s">
        <v>585</v>
      </c>
      <c r="G796" s="7" t="str">
        <f aca="false">HYPERLINK(CONCATENATE("http://crfop.gdos.gov.pl/CRFOP/widok/viewpomnikprzyrody.jsf?fop=","PL.ZIPOP.1393.PP.1014011.1708"),"(kliknij lub Ctrl+kliknij)")</f>
        <v>(kliknij lub Ctrl+kliknij)</v>
      </c>
      <c r="H796" s="0" t="s">
        <v>847</v>
      </c>
    </row>
    <row r="797" customFormat="false" ht="12.8" hidden="false" customHeight="false" outlineLevel="0" collapsed="false">
      <c r="A797" s="1" t="s">
        <v>569</v>
      </c>
      <c r="C797" s="3" t="s">
        <v>584</v>
      </c>
      <c r="D797" s="4" t="s">
        <v>571</v>
      </c>
      <c r="F797" s="6" t="s">
        <v>585</v>
      </c>
      <c r="G797" s="7" t="str">
        <f aca="false">HYPERLINK(CONCATENATE("http://crfop.gdos.gov.pl/CRFOP/widok/viewpomnikprzyrody.jsf?fop=","PL.ZIPOP.1393.PP.1014011.1709"),"(kliknij lub Ctrl+kliknij)")</f>
        <v>(kliknij lub Ctrl+kliknij)</v>
      </c>
      <c r="H797" s="0" t="s">
        <v>847</v>
      </c>
    </row>
    <row r="798" customFormat="false" ht="12.8" hidden="false" customHeight="false" outlineLevel="0" collapsed="false">
      <c r="A798" s="1" t="s">
        <v>569</v>
      </c>
      <c r="C798" s="3" t="s">
        <v>584</v>
      </c>
      <c r="D798" s="4" t="s">
        <v>571</v>
      </c>
      <c r="F798" s="6" t="s">
        <v>585</v>
      </c>
      <c r="G798" s="7" t="str">
        <f aca="false">HYPERLINK(CONCATENATE("http://crfop.gdos.gov.pl/CRFOP/widok/viewpomnikprzyrody.jsf?fop=","PL.ZIPOP.1393.PP.1014011.3149"),"(kliknij lub Ctrl+kliknij)")</f>
        <v>(kliknij lub Ctrl+kliknij)</v>
      </c>
      <c r="H798" s="0" t="s">
        <v>847</v>
      </c>
    </row>
    <row r="799" customFormat="false" ht="12.8" hidden="false" customHeight="false" outlineLevel="0" collapsed="false">
      <c r="A799" s="1" t="s">
        <v>569</v>
      </c>
      <c r="C799" s="3" t="s">
        <v>643</v>
      </c>
      <c r="D799" s="4" t="s">
        <v>571</v>
      </c>
      <c r="F799" s="6" t="s">
        <v>445</v>
      </c>
      <c r="G799" s="7" t="str">
        <f aca="false">HYPERLINK(CONCATENATE("http://crfop.gdos.gov.pl/CRFOP/widok/viewpomnikprzyrody.jsf?fop=","PL.ZIPOP.1393.PP.1014023.1881"),"(kliknij lub Ctrl+kliknij)")</f>
        <v>(kliknij lub Ctrl+kliknij)</v>
      </c>
      <c r="H799" s="0" t="s">
        <v>849</v>
      </c>
    </row>
    <row r="800" customFormat="false" ht="12.8" hidden="false" customHeight="false" outlineLevel="0" collapsed="false">
      <c r="A800" s="1" t="s">
        <v>569</v>
      </c>
      <c r="C800" s="3" t="s">
        <v>584</v>
      </c>
      <c r="D800" s="4" t="s">
        <v>571</v>
      </c>
      <c r="F800" s="6" t="s">
        <v>585</v>
      </c>
      <c r="G800" s="7" t="str">
        <f aca="false">HYPERLINK(CONCATENATE("http://crfop.gdos.gov.pl/CRFOP/widok/viewpomnikprzyrody.jsf?fop=","PL.ZIPOP.1393.PP.1014023.1891"),"(kliknij lub Ctrl+kliknij)")</f>
        <v>(kliknij lub Ctrl+kliknij)</v>
      </c>
      <c r="H800" s="0" t="s">
        <v>849</v>
      </c>
    </row>
    <row r="801" customFormat="false" ht="12.8" hidden="false" customHeight="false" outlineLevel="0" collapsed="false">
      <c r="A801" s="1" t="s">
        <v>569</v>
      </c>
      <c r="C801" s="3" t="s">
        <v>584</v>
      </c>
      <c r="D801" s="4" t="s">
        <v>571</v>
      </c>
      <c r="F801" s="6" t="s">
        <v>585</v>
      </c>
      <c r="G801" s="7" t="str">
        <f aca="false">HYPERLINK(CONCATENATE("http://crfop.gdos.gov.pl/CRFOP/widok/viewpomnikprzyrody.jsf?fop=","PL.ZIPOP.1393.PP.1014023.1892"),"(kliknij lub Ctrl+kliknij)")</f>
        <v>(kliknij lub Ctrl+kliknij)</v>
      </c>
      <c r="H801" s="0" t="s">
        <v>849</v>
      </c>
    </row>
    <row r="802" customFormat="false" ht="12.8" hidden="false" customHeight="false" outlineLevel="0" collapsed="false">
      <c r="A802" s="1" t="s">
        <v>569</v>
      </c>
      <c r="C802" s="3" t="s">
        <v>584</v>
      </c>
      <c r="D802" s="4" t="s">
        <v>571</v>
      </c>
      <c r="F802" s="6" t="s">
        <v>585</v>
      </c>
      <c r="G802" s="7" t="str">
        <f aca="false">HYPERLINK(CONCATENATE("http://crfop.gdos.gov.pl/CRFOP/widok/viewpomnikprzyrody.jsf?fop=","PL.ZIPOP.1393.PP.1014023.1893"),"(kliknij lub Ctrl+kliknij)")</f>
        <v>(kliknij lub Ctrl+kliknij)</v>
      </c>
      <c r="H802" s="0" t="s">
        <v>849</v>
      </c>
    </row>
    <row r="803" customFormat="false" ht="12.8" hidden="false" customHeight="false" outlineLevel="0" collapsed="false">
      <c r="A803" s="1" t="s">
        <v>569</v>
      </c>
      <c r="C803" s="3" t="s">
        <v>584</v>
      </c>
      <c r="D803" s="4" t="s">
        <v>571</v>
      </c>
      <c r="F803" s="6" t="s">
        <v>585</v>
      </c>
      <c r="G803" s="7" t="str">
        <f aca="false">HYPERLINK(CONCATENATE("http://crfop.gdos.gov.pl/CRFOP/widok/viewpomnikprzyrody.jsf?fop=","PL.ZIPOP.1393.PP.1014023.1894"),"(kliknij lub Ctrl+kliknij)")</f>
        <v>(kliknij lub Ctrl+kliknij)</v>
      </c>
      <c r="H803" s="0" t="s">
        <v>849</v>
      </c>
    </row>
    <row r="804" customFormat="false" ht="12.8" hidden="false" customHeight="false" outlineLevel="0" collapsed="false">
      <c r="A804" s="1" t="s">
        <v>569</v>
      </c>
      <c r="C804" s="3" t="s">
        <v>584</v>
      </c>
      <c r="D804" s="4" t="s">
        <v>571</v>
      </c>
      <c r="F804" s="6" t="s">
        <v>585</v>
      </c>
      <c r="G804" s="7" t="str">
        <f aca="false">HYPERLINK(CONCATENATE("http://crfop.gdos.gov.pl/CRFOP/widok/viewpomnikprzyrody.jsf?fop=","PL.ZIPOP.1393.PP.1014023.1895"),"(kliknij lub Ctrl+kliknij)")</f>
        <v>(kliknij lub Ctrl+kliknij)</v>
      </c>
      <c r="H804" s="0" t="s">
        <v>849</v>
      </c>
    </row>
    <row r="805" customFormat="false" ht="12.8" hidden="false" customHeight="false" outlineLevel="0" collapsed="false">
      <c r="A805" s="1" t="s">
        <v>569</v>
      </c>
      <c r="C805" s="3" t="s">
        <v>584</v>
      </c>
      <c r="D805" s="4" t="s">
        <v>571</v>
      </c>
      <c r="F805" s="6" t="s">
        <v>585</v>
      </c>
      <c r="G805" s="7" t="str">
        <f aca="false">HYPERLINK(CONCATENATE("http://crfop.gdos.gov.pl/CRFOP/widok/viewpomnikprzyrody.jsf?fop=","PL.ZIPOP.1393.PP.1014023.1896"),"(kliknij lub Ctrl+kliknij)")</f>
        <v>(kliknij lub Ctrl+kliknij)</v>
      </c>
      <c r="H805" s="0" t="s">
        <v>849</v>
      </c>
    </row>
    <row r="806" customFormat="false" ht="12.8" hidden="false" customHeight="false" outlineLevel="0" collapsed="false">
      <c r="A806" s="1" t="s">
        <v>569</v>
      </c>
      <c r="C806" s="3" t="s">
        <v>584</v>
      </c>
      <c r="D806" s="4" t="s">
        <v>571</v>
      </c>
      <c r="F806" s="6" t="s">
        <v>585</v>
      </c>
      <c r="G806" s="7" t="str">
        <f aca="false">HYPERLINK(CONCATENATE("http://crfop.gdos.gov.pl/CRFOP/widok/viewpomnikprzyrody.jsf?fop=","PL.ZIPOP.1393.PP.1014023.1897"),"(kliknij lub Ctrl+kliknij)")</f>
        <v>(kliknij lub Ctrl+kliknij)</v>
      </c>
      <c r="H806" s="0" t="s">
        <v>849</v>
      </c>
    </row>
    <row r="807" customFormat="false" ht="12.8" hidden="false" customHeight="false" outlineLevel="0" collapsed="false">
      <c r="A807" s="1" t="s">
        <v>569</v>
      </c>
      <c r="C807" s="3" t="s">
        <v>584</v>
      </c>
      <c r="D807" s="4" t="s">
        <v>571</v>
      </c>
      <c r="F807" s="6" t="s">
        <v>585</v>
      </c>
      <c r="G807" s="7" t="str">
        <f aca="false">HYPERLINK(CONCATENATE("http://crfop.gdos.gov.pl/CRFOP/widok/viewpomnikprzyrody.jsf?fop=","PL.ZIPOP.1393.PP.1014023.1898"),"(kliknij lub Ctrl+kliknij)")</f>
        <v>(kliknij lub Ctrl+kliknij)</v>
      </c>
      <c r="H807" s="0" t="s">
        <v>849</v>
      </c>
    </row>
    <row r="808" customFormat="false" ht="12.8" hidden="false" customHeight="false" outlineLevel="0" collapsed="false">
      <c r="A808" s="1" t="s">
        <v>569</v>
      </c>
      <c r="C808" s="3" t="s">
        <v>584</v>
      </c>
      <c r="D808" s="4" t="s">
        <v>571</v>
      </c>
      <c r="F808" s="6" t="s">
        <v>585</v>
      </c>
      <c r="G808" s="7" t="str">
        <f aca="false">HYPERLINK(CONCATENATE("http://crfop.gdos.gov.pl/CRFOP/widok/viewpomnikprzyrody.jsf?fop=","PL.ZIPOP.1393.PP.1014023.1899"),"(kliknij lub Ctrl+kliknij)")</f>
        <v>(kliknij lub Ctrl+kliknij)</v>
      </c>
      <c r="H808" s="0" t="s">
        <v>849</v>
      </c>
    </row>
    <row r="809" customFormat="false" ht="12.8" hidden="false" customHeight="false" outlineLevel="0" collapsed="false">
      <c r="A809" s="1" t="s">
        <v>569</v>
      </c>
      <c r="C809" s="3" t="s">
        <v>584</v>
      </c>
      <c r="D809" s="4" t="s">
        <v>571</v>
      </c>
      <c r="F809" s="6" t="s">
        <v>585</v>
      </c>
      <c r="G809" s="7" t="str">
        <f aca="false">HYPERLINK(CONCATENATE("http://crfop.gdos.gov.pl/CRFOP/widok/viewpomnikprzyrody.jsf?fop=","PL.ZIPOP.1393.PP.1014023.1901"),"(kliknij lub Ctrl+kliknij)")</f>
        <v>(kliknij lub Ctrl+kliknij)</v>
      </c>
      <c r="H809" s="0" t="s">
        <v>849</v>
      </c>
    </row>
    <row r="810" customFormat="false" ht="12.8" hidden="false" customHeight="false" outlineLevel="0" collapsed="false">
      <c r="A810" s="1" t="s">
        <v>569</v>
      </c>
      <c r="C810" s="3" t="s">
        <v>584</v>
      </c>
      <c r="D810" s="4" t="s">
        <v>571</v>
      </c>
      <c r="F810" s="6" t="s">
        <v>585</v>
      </c>
      <c r="G810" s="7" t="str">
        <f aca="false">HYPERLINK(CONCATENATE("http://crfop.gdos.gov.pl/CRFOP/widok/viewpomnikprzyrody.jsf?fop=","PL.ZIPOP.1393.PP.1014023.1902"),"(kliknij lub Ctrl+kliknij)")</f>
        <v>(kliknij lub Ctrl+kliknij)</v>
      </c>
      <c r="H810" s="0" t="s">
        <v>849</v>
      </c>
    </row>
    <row r="811" customFormat="false" ht="12.8" hidden="false" customHeight="false" outlineLevel="0" collapsed="false">
      <c r="A811" s="1" t="s">
        <v>569</v>
      </c>
      <c r="C811" s="3" t="s">
        <v>584</v>
      </c>
      <c r="D811" s="4" t="s">
        <v>571</v>
      </c>
      <c r="F811" s="6" t="s">
        <v>585</v>
      </c>
      <c r="G811" s="7" t="str">
        <f aca="false">HYPERLINK(CONCATENATE("http://crfop.gdos.gov.pl/CRFOP/widok/viewpomnikprzyrody.jsf?fop=","PL.ZIPOP.1393.PP.1014023.1903"),"(kliknij lub Ctrl+kliknij)")</f>
        <v>(kliknij lub Ctrl+kliknij)</v>
      </c>
      <c r="H811" s="0" t="s">
        <v>849</v>
      </c>
    </row>
    <row r="812" customFormat="false" ht="12.8" hidden="false" customHeight="false" outlineLevel="0" collapsed="false">
      <c r="A812" s="1" t="s">
        <v>569</v>
      </c>
      <c r="C812" s="3" t="s">
        <v>584</v>
      </c>
      <c r="D812" s="4" t="s">
        <v>571</v>
      </c>
      <c r="F812" s="6" t="s">
        <v>585</v>
      </c>
      <c r="G812" s="7" t="str">
        <f aca="false">HYPERLINK(CONCATENATE("http://crfop.gdos.gov.pl/CRFOP/widok/viewpomnikprzyrody.jsf?fop=","PL.ZIPOP.1393.PP.1014023.1904"),"(kliknij lub Ctrl+kliknij)")</f>
        <v>(kliknij lub Ctrl+kliknij)</v>
      </c>
      <c r="H812" s="0" t="s">
        <v>849</v>
      </c>
    </row>
    <row r="813" customFormat="false" ht="12.8" hidden="false" customHeight="false" outlineLevel="0" collapsed="false">
      <c r="A813" s="1" t="s">
        <v>569</v>
      </c>
      <c r="C813" s="3" t="s">
        <v>584</v>
      </c>
      <c r="D813" s="4" t="s">
        <v>571</v>
      </c>
      <c r="F813" s="6" t="s">
        <v>585</v>
      </c>
      <c r="G813" s="7" t="str">
        <f aca="false">HYPERLINK(CONCATENATE("http://crfop.gdos.gov.pl/CRFOP/widok/viewpomnikprzyrody.jsf?fop=","PL.ZIPOP.1393.PP.1014023.1905"),"(kliknij lub Ctrl+kliknij)")</f>
        <v>(kliknij lub Ctrl+kliknij)</v>
      </c>
      <c r="H813" s="0" t="s">
        <v>849</v>
      </c>
    </row>
    <row r="814" customFormat="false" ht="12.8" hidden="false" customHeight="false" outlineLevel="0" collapsed="false">
      <c r="A814" s="1" t="s">
        <v>569</v>
      </c>
      <c r="C814" s="3" t="s">
        <v>584</v>
      </c>
      <c r="D814" s="4" t="s">
        <v>571</v>
      </c>
      <c r="F814" s="6" t="s">
        <v>585</v>
      </c>
      <c r="G814" s="7" t="str">
        <f aca="false">HYPERLINK(CONCATENATE("http://crfop.gdos.gov.pl/CRFOP/widok/viewpomnikprzyrody.jsf?fop=","PL.ZIPOP.1393.PP.1014023.1906"),"(kliknij lub Ctrl+kliknij)")</f>
        <v>(kliknij lub Ctrl+kliknij)</v>
      </c>
      <c r="H814" s="0" t="s">
        <v>849</v>
      </c>
    </row>
    <row r="815" customFormat="false" ht="12.8" hidden="false" customHeight="false" outlineLevel="0" collapsed="false">
      <c r="A815" s="1" t="s">
        <v>569</v>
      </c>
      <c r="C815" s="3" t="s">
        <v>584</v>
      </c>
      <c r="D815" s="4" t="s">
        <v>571</v>
      </c>
      <c r="F815" s="6" t="s">
        <v>585</v>
      </c>
      <c r="G815" s="7" t="str">
        <f aca="false">HYPERLINK(CONCATENATE("http://crfop.gdos.gov.pl/CRFOP/widok/viewpomnikprzyrody.jsf?fop=","PL.ZIPOP.1393.PP.1014023.1907"),"(kliknij lub Ctrl+kliknij)")</f>
        <v>(kliknij lub Ctrl+kliknij)</v>
      </c>
      <c r="H815" s="0" t="s">
        <v>849</v>
      </c>
    </row>
    <row r="816" customFormat="false" ht="12.8" hidden="false" customHeight="false" outlineLevel="0" collapsed="false">
      <c r="A816" s="1" t="s">
        <v>569</v>
      </c>
      <c r="C816" s="3" t="s">
        <v>584</v>
      </c>
      <c r="D816" s="4" t="s">
        <v>571</v>
      </c>
      <c r="F816" s="6" t="s">
        <v>585</v>
      </c>
      <c r="G816" s="7" t="str">
        <f aca="false">HYPERLINK(CONCATENATE("http://crfop.gdos.gov.pl/CRFOP/widok/viewpomnikprzyrody.jsf?fop=","PL.ZIPOP.1393.PP.1014023.1909"),"(kliknij lub Ctrl+kliknij)")</f>
        <v>(kliknij lub Ctrl+kliknij)</v>
      </c>
      <c r="H816" s="0" t="s">
        <v>849</v>
      </c>
    </row>
    <row r="817" customFormat="false" ht="12.8" hidden="false" customHeight="false" outlineLevel="0" collapsed="false">
      <c r="A817" s="1" t="s">
        <v>569</v>
      </c>
      <c r="C817" s="3" t="s">
        <v>584</v>
      </c>
      <c r="D817" s="4" t="s">
        <v>571</v>
      </c>
      <c r="F817" s="6" t="s">
        <v>585</v>
      </c>
      <c r="G817" s="7" t="str">
        <f aca="false">HYPERLINK(CONCATENATE("http://crfop.gdos.gov.pl/CRFOP/widok/viewpomnikprzyrody.jsf?fop=","PL.ZIPOP.1393.PP.1014023.1910"),"(kliknij lub Ctrl+kliknij)")</f>
        <v>(kliknij lub Ctrl+kliknij)</v>
      </c>
      <c r="H817" s="0" t="s">
        <v>849</v>
      </c>
    </row>
    <row r="818" customFormat="false" ht="12.8" hidden="false" customHeight="false" outlineLevel="0" collapsed="false">
      <c r="A818" s="1" t="s">
        <v>569</v>
      </c>
      <c r="C818" s="3" t="s">
        <v>584</v>
      </c>
      <c r="D818" s="4" t="s">
        <v>571</v>
      </c>
      <c r="F818" s="6" t="s">
        <v>585</v>
      </c>
      <c r="G818" s="7" t="str">
        <f aca="false">HYPERLINK(CONCATENATE("http://crfop.gdos.gov.pl/CRFOP/widok/viewpomnikprzyrody.jsf?fop=","PL.ZIPOP.1393.PP.1014023.1911"),"(kliknij lub Ctrl+kliknij)")</f>
        <v>(kliknij lub Ctrl+kliknij)</v>
      </c>
      <c r="H818" s="0" t="s">
        <v>849</v>
      </c>
    </row>
    <row r="819" customFormat="false" ht="12.8" hidden="false" customHeight="false" outlineLevel="0" collapsed="false">
      <c r="A819" s="1" t="s">
        <v>569</v>
      </c>
      <c r="C819" s="3" t="s">
        <v>584</v>
      </c>
      <c r="D819" s="4" t="s">
        <v>571</v>
      </c>
      <c r="F819" s="6" t="s">
        <v>585</v>
      </c>
      <c r="G819" s="7" t="str">
        <f aca="false">HYPERLINK(CONCATENATE("http://crfop.gdos.gov.pl/CRFOP/widok/viewpomnikprzyrody.jsf?fop=","PL.ZIPOP.1393.PP.1014023.1912"),"(kliknij lub Ctrl+kliknij)")</f>
        <v>(kliknij lub Ctrl+kliknij)</v>
      </c>
      <c r="H819" s="0" t="s">
        <v>849</v>
      </c>
    </row>
    <row r="820" customFormat="false" ht="12.8" hidden="false" customHeight="false" outlineLevel="0" collapsed="false">
      <c r="A820" s="1" t="s">
        <v>569</v>
      </c>
      <c r="C820" s="3" t="s">
        <v>584</v>
      </c>
      <c r="D820" s="4" t="s">
        <v>571</v>
      </c>
      <c r="F820" s="6" t="s">
        <v>585</v>
      </c>
      <c r="G820" s="7" t="str">
        <f aca="false">HYPERLINK(CONCATENATE("http://crfop.gdos.gov.pl/CRFOP/widok/viewpomnikprzyrody.jsf?fop=","PL.ZIPOP.1393.PP.1014023.1913"),"(kliknij lub Ctrl+kliknij)")</f>
        <v>(kliknij lub Ctrl+kliknij)</v>
      </c>
      <c r="H820" s="0" t="s">
        <v>849</v>
      </c>
    </row>
    <row r="821" customFormat="false" ht="12.8" hidden="false" customHeight="false" outlineLevel="0" collapsed="false">
      <c r="A821" s="1" t="s">
        <v>569</v>
      </c>
      <c r="C821" s="3" t="s">
        <v>584</v>
      </c>
      <c r="D821" s="4" t="s">
        <v>571</v>
      </c>
      <c r="F821" s="6" t="s">
        <v>585</v>
      </c>
      <c r="G821" s="7" t="str">
        <f aca="false">HYPERLINK(CONCATENATE("http://crfop.gdos.gov.pl/CRFOP/widok/viewpomnikprzyrody.jsf?fop=","PL.ZIPOP.1393.PP.1014023.1914"),"(kliknij lub Ctrl+kliknij)")</f>
        <v>(kliknij lub Ctrl+kliknij)</v>
      </c>
      <c r="H821" s="0" t="s">
        <v>849</v>
      </c>
    </row>
    <row r="822" customFormat="false" ht="12.8" hidden="false" customHeight="false" outlineLevel="0" collapsed="false">
      <c r="A822" s="1" t="s">
        <v>569</v>
      </c>
      <c r="C822" s="3" t="s">
        <v>584</v>
      </c>
      <c r="D822" s="4" t="s">
        <v>571</v>
      </c>
      <c r="F822" s="6" t="s">
        <v>585</v>
      </c>
      <c r="G822" s="7" t="str">
        <f aca="false">HYPERLINK(CONCATENATE("http://crfop.gdos.gov.pl/CRFOP/widok/viewpomnikprzyrody.jsf?fop=","PL.ZIPOP.1393.PP.1014023.1915"),"(kliknij lub Ctrl+kliknij)")</f>
        <v>(kliknij lub Ctrl+kliknij)</v>
      </c>
      <c r="H822" s="0" t="s">
        <v>849</v>
      </c>
    </row>
    <row r="823" customFormat="false" ht="12.8" hidden="false" customHeight="false" outlineLevel="0" collapsed="false">
      <c r="A823" s="1" t="s">
        <v>569</v>
      </c>
      <c r="C823" s="3" t="s">
        <v>584</v>
      </c>
      <c r="D823" s="4" t="s">
        <v>571</v>
      </c>
      <c r="F823" s="6" t="s">
        <v>585</v>
      </c>
      <c r="G823" s="7" t="str">
        <f aca="false">HYPERLINK(CONCATENATE("http://crfop.gdos.gov.pl/CRFOP/widok/viewpomnikprzyrody.jsf?fop=","PL.ZIPOP.1393.PP.1014023.1916"),"(kliknij lub Ctrl+kliknij)")</f>
        <v>(kliknij lub Ctrl+kliknij)</v>
      </c>
      <c r="H823" s="0" t="s">
        <v>849</v>
      </c>
    </row>
    <row r="824" customFormat="false" ht="12.8" hidden="false" customHeight="false" outlineLevel="0" collapsed="false">
      <c r="A824" s="1" t="s">
        <v>569</v>
      </c>
      <c r="C824" s="3" t="s">
        <v>584</v>
      </c>
      <c r="D824" s="4" t="s">
        <v>571</v>
      </c>
      <c r="F824" s="6" t="s">
        <v>585</v>
      </c>
      <c r="G824" s="7" t="str">
        <f aca="false">HYPERLINK(CONCATENATE("http://crfop.gdos.gov.pl/CRFOP/widok/viewpomnikprzyrody.jsf?fop=","PL.ZIPOP.1393.PP.1014023.1917"),"(kliknij lub Ctrl+kliknij)")</f>
        <v>(kliknij lub Ctrl+kliknij)</v>
      </c>
      <c r="H824" s="0" t="s">
        <v>849</v>
      </c>
    </row>
    <row r="825" customFormat="false" ht="12.8" hidden="false" customHeight="false" outlineLevel="0" collapsed="false">
      <c r="A825" s="1" t="s">
        <v>569</v>
      </c>
      <c r="C825" s="3" t="s">
        <v>584</v>
      </c>
      <c r="D825" s="4" t="s">
        <v>571</v>
      </c>
      <c r="F825" s="6" t="s">
        <v>585</v>
      </c>
      <c r="G825" s="7" t="str">
        <f aca="false">HYPERLINK(CONCATENATE("http://crfop.gdos.gov.pl/CRFOP/widok/viewpomnikprzyrody.jsf?fop=","PL.ZIPOP.1393.PP.1014023.1918"),"(kliknij lub Ctrl+kliknij)")</f>
        <v>(kliknij lub Ctrl+kliknij)</v>
      </c>
      <c r="H825" s="0" t="s">
        <v>849</v>
      </c>
    </row>
    <row r="826" customFormat="false" ht="12.8" hidden="false" customHeight="false" outlineLevel="0" collapsed="false">
      <c r="A826" s="1" t="s">
        <v>569</v>
      </c>
      <c r="C826" s="3" t="s">
        <v>584</v>
      </c>
      <c r="D826" s="4" t="s">
        <v>571</v>
      </c>
      <c r="F826" s="6" t="s">
        <v>585</v>
      </c>
      <c r="G826" s="7" t="str">
        <f aca="false">HYPERLINK(CONCATENATE("http://crfop.gdos.gov.pl/CRFOP/widok/viewpomnikprzyrody.jsf?fop=","PL.ZIPOP.1393.PP.1014023.1919"),"(kliknij lub Ctrl+kliknij)")</f>
        <v>(kliknij lub Ctrl+kliknij)</v>
      </c>
      <c r="H826" s="0" t="s">
        <v>849</v>
      </c>
    </row>
    <row r="827" customFormat="false" ht="12.8" hidden="false" customHeight="false" outlineLevel="0" collapsed="false">
      <c r="A827" s="1" t="s">
        <v>569</v>
      </c>
      <c r="C827" s="3" t="s">
        <v>584</v>
      </c>
      <c r="D827" s="4" t="s">
        <v>571</v>
      </c>
      <c r="F827" s="6" t="s">
        <v>585</v>
      </c>
      <c r="G827" s="7" t="str">
        <f aca="false">HYPERLINK(CONCATENATE("http://crfop.gdos.gov.pl/CRFOP/widok/viewpomnikprzyrody.jsf?fop=","PL.ZIPOP.1393.PP.1014023.1920"),"(kliknij lub Ctrl+kliknij)")</f>
        <v>(kliknij lub Ctrl+kliknij)</v>
      </c>
      <c r="H827" s="0" t="s">
        <v>849</v>
      </c>
    </row>
    <row r="828" customFormat="false" ht="12.8" hidden="false" customHeight="false" outlineLevel="0" collapsed="false">
      <c r="A828" s="1" t="s">
        <v>569</v>
      </c>
      <c r="C828" s="3" t="s">
        <v>584</v>
      </c>
      <c r="D828" s="4" t="s">
        <v>571</v>
      </c>
      <c r="F828" s="6" t="s">
        <v>585</v>
      </c>
      <c r="G828" s="7" t="str">
        <f aca="false">HYPERLINK(CONCATENATE("http://crfop.gdos.gov.pl/CRFOP/widok/viewpomnikprzyrody.jsf?fop=","PL.ZIPOP.1393.PP.1014023.1921"),"(kliknij lub Ctrl+kliknij)")</f>
        <v>(kliknij lub Ctrl+kliknij)</v>
      </c>
      <c r="H828" s="0" t="s">
        <v>849</v>
      </c>
    </row>
    <row r="829" customFormat="false" ht="12.8" hidden="false" customHeight="false" outlineLevel="0" collapsed="false">
      <c r="A829" s="1" t="s">
        <v>569</v>
      </c>
      <c r="C829" s="3" t="s">
        <v>584</v>
      </c>
      <c r="D829" s="4" t="s">
        <v>571</v>
      </c>
      <c r="F829" s="6" t="s">
        <v>585</v>
      </c>
      <c r="G829" s="7" t="str">
        <f aca="false">HYPERLINK(CONCATENATE("http://crfop.gdos.gov.pl/CRFOP/widok/viewpomnikprzyrody.jsf?fop=","PL.ZIPOP.1393.PP.1014023.1922"),"(kliknij lub Ctrl+kliknij)")</f>
        <v>(kliknij lub Ctrl+kliknij)</v>
      </c>
      <c r="H829" s="0" t="s">
        <v>849</v>
      </c>
    </row>
    <row r="830" customFormat="false" ht="12.8" hidden="false" customHeight="false" outlineLevel="0" collapsed="false">
      <c r="A830" s="1" t="s">
        <v>569</v>
      </c>
      <c r="C830" s="3" t="s">
        <v>584</v>
      </c>
      <c r="D830" s="4" t="s">
        <v>571</v>
      </c>
      <c r="F830" s="6" t="s">
        <v>585</v>
      </c>
      <c r="G830" s="7" t="str">
        <f aca="false">HYPERLINK(CONCATENATE("http://crfop.gdos.gov.pl/CRFOP/widok/viewpomnikprzyrody.jsf?fop=","PL.ZIPOP.1393.PP.1014023.1923"),"(kliknij lub Ctrl+kliknij)")</f>
        <v>(kliknij lub Ctrl+kliknij)</v>
      </c>
      <c r="H830" s="0" t="s">
        <v>849</v>
      </c>
    </row>
    <row r="831" customFormat="false" ht="12.8" hidden="false" customHeight="false" outlineLevel="0" collapsed="false">
      <c r="A831" s="1" t="s">
        <v>569</v>
      </c>
      <c r="C831" s="3" t="s">
        <v>584</v>
      </c>
      <c r="D831" s="4" t="s">
        <v>571</v>
      </c>
      <c r="F831" s="6" t="s">
        <v>585</v>
      </c>
      <c r="G831" s="7" t="str">
        <f aca="false">HYPERLINK(CONCATENATE("http://crfop.gdos.gov.pl/CRFOP/widok/viewpomnikprzyrody.jsf?fop=","PL.ZIPOP.1393.PP.1014023.1924"),"(kliknij lub Ctrl+kliknij)")</f>
        <v>(kliknij lub Ctrl+kliknij)</v>
      </c>
      <c r="H831" s="0" t="s">
        <v>849</v>
      </c>
    </row>
    <row r="832" customFormat="false" ht="12.8" hidden="false" customHeight="false" outlineLevel="0" collapsed="false">
      <c r="A832" s="1" t="s">
        <v>569</v>
      </c>
      <c r="C832" s="3" t="s">
        <v>584</v>
      </c>
      <c r="D832" s="4" t="s">
        <v>571</v>
      </c>
      <c r="F832" s="6" t="s">
        <v>585</v>
      </c>
      <c r="G832" s="7" t="str">
        <f aca="false">HYPERLINK(CONCATENATE("http://crfop.gdos.gov.pl/CRFOP/widok/viewpomnikprzyrody.jsf?fop=","PL.ZIPOP.1393.PP.1014023.1925"),"(kliknij lub Ctrl+kliknij)")</f>
        <v>(kliknij lub Ctrl+kliknij)</v>
      </c>
      <c r="H832" s="0" t="s">
        <v>849</v>
      </c>
    </row>
    <row r="833" customFormat="false" ht="12.8" hidden="false" customHeight="false" outlineLevel="0" collapsed="false">
      <c r="A833" s="1" t="s">
        <v>569</v>
      </c>
      <c r="C833" s="3" t="s">
        <v>584</v>
      </c>
      <c r="D833" s="4" t="s">
        <v>571</v>
      </c>
      <c r="F833" s="6" t="s">
        <v>585</v>
      </c>
      <c r="G833" s="7" t="str">
        <f aca="false">HYPERLINK(CONCATENATE("http://crfop.gdos.gov.pl/CRFOP/widok/viewpomnikprzyrody.jsf?fop=","PL.ZIPOP.1393.PP.1014023.1926"),"(kliknij lub Ctrl+kliknij)")</f>
        <v>(kliknij lub Ctrl+kliknij)</v>
      </c>
      <c r="H833" s="0" t="s">
        <v>849</v>
      </c>
    </row>
    <row r="834" customFormat="false" ht="12.8" hidden="false" customHeight="false" outlineLevel="0" collapsed="false">
      <c r="A834" s="1" t="s">
        <v>569</v>
      </c>
      <c r="C834" s="3" t="s">
        <v>584</v>
      </c>
      <c r="D834" s="4" t="s">
        <v>571</v>
      </c>
      <c r="F834" s="6" t="s">
        <v>585</v>
      </c>
      <c r="G834" s="7" t="str">
        <f aca="false">HYPERLINK(CONCATENATE("http://crfop.gdos.gov.pl/CRFOP/widok/viewpomnikprzyrody.jsf?fop=","PL.ZIPOP.1393.PP.1014023.1927"),"(kliknij lub Ctrl+kliknij)")</f>
        <v>(kliknij lub Ctrl+kliknij)</v>
      </c>
      <c r="H834" s="0" t="s">
        <v>849</v>
      </c>
    </row>
    <row r="835" customFormat="false" ht="12.8" hidden="false" customHeight="false" outlineLevel="0" collapsed="false">
      <c r="A835" s="1" t="s">
        <v>569</v>
      </c>
      <c r="C835" s="3" t="s">
        <v>584</v>
      </c>
      <c r="D835" s="4" t="s">
        <v>571</v>
      </c>
      <c r="F835" s="6" t="s">
        <v>585</v>
      </c>
      <c r="G835" s="7" t="str">
        <f aca="false">HYPERLINK(CONCATENATE("http://crfop.gdos.gov.pl/CRFOP/widok/viewpomnikprzyrody.jsf?fop=","PL.ZIPOP.1393.PP.1014023.1928"),"(kliknij lub Ctrl+kliknij)")</f>
        <v>(kliknij lub Ctrl+kliknij)</v>
      </c>
      <c r="H835" s="0" t="s">
        <v>849</v>
      </c>
    </row>
    <row r="836" customFormat="false" ht="12.8" hidden="false" customHeight="false" outlineLevel="0" collapsed="false">
      <c r="A836" s="1" t="s">
        <v>569</v>
      </c>
      <c r="C836" s="3" t="s">
        <v>584</v>
      </c>
      <c r="D836" s="4" t="s">
        <v>571</v>
      </c>
      <c r="F836" s="6" t="s">
        <v>585</v>
      </c>
      <c r="G836" s="7" t="str">
        <f aca="false">HYPERLINK(CONCATENATE("http://crfop.gdos.gov.pl/CRFOP/widok/viewpomnikprzyrody.jsf?fop=","PL.ZIPOP.1393.PP.1014023.1930"),"(kliknij lub Ctrl+kliknij)")</f>
        <v>(kliknij lub Ctrl+kliknij)</v>
      </c>
      <c r="H836" s="0" t="s">
        <v>849</v>
      </c>
    </row>
    <row r="837" customFormat="false" ht="12.8" hidden="false" customHeight="false" outlineLevel="0" collapsed="false">
      <c r="A837" s="1" t="s">
        <v>569</v>
      </c>
      <c r="C837" s="3" t="s">
        <v>584</v>
      </c>
      <c r="D837" s="4" t="s">
        <v>571</v>
      </c>
      <c r="F837" s="6" t="s">
        <v>585</v>
      </c>
      <c r="G837" s="7" t="str">
        <f aca="false">HYPERLINK(CONCATENATE("http://crfop.gdos.gov.pl/CRFOP/widok/viewpomnikprzyrody.jsf?fop=","PL.ZIPOP.1393.PP.1014023.1931"),"(kliknij lub Ctrl+kliknij)")</f>
        <v>(kliknij lub Ctrl+kliknij)</v>
      </c>
      <c r="H837" s="0" t="s">
        <v>849</v>
      </c>
    </row>
    <row r="838" customFormat="false" ht="12.8" hidden="false" customHeight="false" outlineLevel="0" collapsed="false">
      <c r="A838" s="1" t="s">
        <v>569</v>
      </c>
      <c r="C838" s="3" t="s">
        <v>584</v>
      </c>
      <c r="D838" s="4" t="s">
        <v>571</v>
      </c>
      <c r="F838" s="6" t="s">
        <v>585</v>
      </c>
      <c r="G838" s="7" t="str">
        <f aca="false">HYPERLINK(CONCATENATE("http://crfop.gdos.gov.pl/CRFOP/widok/viewpomnikprzyrody.jsf?fop=","PL.ZIPOP.1393.PP.1014023.1932"),"(kliknij lub Ctrl+kliknij)")</f>
        <v>(kliknij lub Ctrl+kliknij)</v>
      </c>
      <c r="H838" s="0" t="s">
        <v>849</v>
      </c>
    </row>
    <row r="839" customFormat="false" ht="12.8" hidden="false" customHeight="false" outlineLevel="0" collapsed="false">
      <c r="A839" s="1" t="s">
        <v>569</v>
      </c>
      <c r="C839" s="3" t="s">
        <v>584</v>
      </c>
      <c r="D839" s="4" t="s">
        <v>571</v>
      </c>
      <c r="F839" s="6" t="s">
        <v>585</v>
      </c>
      <c r="G839" s="7" t="str">
        <f aca="false">HYPERLINK(CONCATENATE("http://crfop.gdos.gov.pl/CRFOP/widok/viewpomnikprzyrody.jsf?fop=","PL.ZIPOP.1393.PP.1014023.1933"),"(kliknij lub Ctrl+kliknij)")</f>
        <v>(kliknij lub Ctrl+kliknij)</v>
      </c>
      <c r="H839" s="0" t="s">
        <v>849</v>
      </c>
    </row>
    <row r="840" customFormat="false" ht="12.8" hidden="false" customHeight="false" outlineLevel="0" collapsed="false">
      <c r="A840" s="1" t="s">
        <v>569</v>
      </c>
      <c r="C840" s="3" t="s">
        <v>584</v>
      </c>
      <c r="D840" s="4" t="s">
        <v>571</v>
      </c>
      <c r="F840" s="6" t="s">
        <v>585</v>
      </c>
      <c r="G840" s="7" t="str">
        <f aca="false">HYPERLINK(CONCATENATE("http://crfop.gdos.gov.pl/CRFOP/widok/viewpomnikprzyrody.jsf?fop=","PL.ZIPOP.1393.PP.1014023.1934"),"(kliknij lub Ctrl+kliknij)")</f>
        <v>(kliknij lub Ctrl+kliknij)</v>
      </c>
      <c r="H840" s="0" t="s">
        <v>849</v>
      </c>
    </row>
    <row r="841" customFormat="false" ht="12.8" hidden="false" customHeight="false" outlineLevel="0" collapsed="false">
      <c r="A841" s="1" t="s">
        <v>569</v>
      </c>
      <c r="C841" s="3" t="s">
        <v>584</v>
      </c>
      <c r="D841" s="4" t="s">
        <v>571</v>
      </c>
      <c r="F841" s="6" t="s">
        <v>585</v>
      </c>
      <c r="G841" s="7" t="str">
        <f aca="false">HYPERLINK(CONCATENATE("http://crfop.gdos.gov.pl/CRFOP/widok/viewpomnikprzyrody.jsf?fop=","PL.ZIPOP.1393.PP.1014023.1935"),"(kliknij lub Ctrl+kliknij)")</f>
        <v>(kliknij lub Ctrl+kliknij)</v>
      </c>
      <c r="H841" s="0" t="s">
        <v>849</v>
      </c>
    </row>
    <row r="842" customFormat="false" ht="12.8" hidden="false" customHeight="false" outlineLevel="0" collapsed="false">
      <c r="A842" s="1" t="s">
        <v>569</v>
      </c>
      <c r="C842" s="3" t="s">
        <v>584</v>
      </c>
      <c r="D842" s="4" t="s">
        <v>571</v>
      </c>
      <c r="F842" s="6" t="s">
        <v>585</v>
      </c>
      <c r="G842" s="7" t="str">
        <f aca="false">HYPERLINK(CONCATENATE("http://crfop.gdos.gov.pl/CRFOP/widok/viewpomnikprzyrody.jsf?fop=","PL.ZIPOP.1393.PP.1014023.1937"),"(kliknij lub Ctrl+kliknij)")</f>
        <v>(kliknij lub Ctrl+kliknij)</v>
      </c>
      <c r="H842" s="0" t="s">
        <v>849</v>
      </c>
    </row>
    <row r="843" customFormat="false" ht="12.8" hidden="false" customHeight="false" outlineLevel="0" collapsed="false">
      <c r="A843" s="1" t="s">
        <v>569</v>
      </c>
      <c r="C843" s="3" t="s">
        <v>584</v>
      </c>
      <c r="D843" s="4" t="s">
        <v>571</v>
      </c>
      <c r="F843" s="6" t="s">
        <v>585</v>
      </c>
      <c r="G843" s="7" t="str">
        <f aca="false">HYPERLINK(CONCATENATE("http://crfop.gdos.gov.pl/CRFOP/widok/viewpomnikprzyrody.jsf?fop=","PL.ZIPOP.1393.PP.1014023.1938"),"(kliknij lub Ctrl+kliknij)")</f>
        <v>(kliknij lub Ctrl+kliknij)</v>
      </c>
      <c r="H843" s="0" t="s">
        <v>849</v>
      </c>
    </row>
    <row r="844" customFormat="false" ht="12.8" hidden="false" customHeight="false" outlineLevel="0" collapsed="false">
      <c r="A844" s="1" t="s">
        <v>569</v>
      </c>
      <c r="C844" s="3" t="s">
        <v>584</v>
      </c>
      <c r="D844" s="4" t="s">
        <v>571</v>
      </c>
      <c r="F844" s="6" t="s">
        <v>585</v>
      </c>
      <c r="G844" s="7" t="str">
        <f aca="false">HYPERLINK(CONCATENATE("http://crfop.gdos.gov.pl/CRFOP/widok/viewpomnikprzyrody.jsf?fop=","PL.ZIPOP.1393.PP.1014023.1939"),"(kliknij lub Ctrl+kliknij)")</f>
        <v>(kliknij lub Ctrl+kliknij)</v>
      </c>
      <c r="H844" s="0" t="s">
        <v>849</v>
      </c>
    </row>
    <row r="845" customFormat="false" ht="12.8" hidden="false" customHeight="false" outlineLevel="0" collapsed="false">
      <c r="A845" s="1" t="s">
        <v>569</v>
      </c>
      <c r="C845" s="3" t="s">
        <v>584</v>
      </c>
      <c r="D845" s="4" t="s">
        <v>571</v>
      </c>
      <c r="F845" s="6" t="s">
        <v>585</v>
      </c>
      <c r="G845" s="7" t="str">
        <f aca="false">HYPERLINK(CONCATENATE("http://crfop.gdos.gov.pl/CRFOP/widok/viewpomnikprzyrody.jsf?fop=","PL.ZIPOP.1393.PP.1014023.1940"),"(kliknij lub Ctrl+kliknij)")</f>
        <v>(kliknij lub Ctrl+kliknij)</v>
      </c>
      <c r="H845" s="0" t="s">
        <v>849</v>
      </c>
    </row>
    <row r="846" customFormat="false" ht="12.8" hidden="false" customHeight="false" outlineLevel="0" collapsed="false">
      <c r="A846" s="1" t="s">
        <v>569</v>
      </c>
      <c r="C846" s="3" t="s">
        <v>584</v>
      </c>
      <c r="D846" s="4" t="s">
        <v>571</v>
      </c>
      <c r="F846" s="6" t="s">
        <v>585</v>
      </c>
      <c r="G846" s="7" t="str">
        <f aca="false">HYPERLINK(CONCATENATE("http://crfop.gdos.gov.pl/CRFOP/widok/viewpomnikprzyrody.jsf?fop=","PL.ZIPOP.1393.PP.1014023.1941"),"(kliknij lub Ctrl+kliknij)")</f>
        <v>(kliknij lub Ctrl+kliknij)</v>
      </c>
      <c r="H846" s="0" t="s">
        <v>849</v>
      </c>
    </row>
    <row r="847" customFormat="false" ht="12.8" hidden="false" customHeight="false" outlineLevel="0" collapsed="false">
      <c r="A847" s="1" t="s">
        <v>569</v>
      </c>
      <c r="C847" s="3" t="s">
        <v>584</v>
      </c>
      <c r="D847" s="4" t="s">
        <v>571</v>
      </c>
      <c r="F847" s="6" t="s">
        <v>585</v>
      </c>
      <c r="G847" s="7" t="str">
        <f aca="false">HYPERLINK(CONCATENATE("http://crfop.gdos.gov.pl/CRFOP/widok/viewpomnikprzyrody.jsf?fop=","PL.ZIPOP.1393.PP.1014023.1944"),"(kliknij lub Ctrl+kliknij)")</f>
        <v>(kliknij lub Ctrl+kliknij)</v>
      </c>
      <c r="H847" s="0" t="s">
        <v>849</v>
      </c>
    </row>
    <row r="848" customFormat="false" ht="12.8" hidden="false" customHeight="false" outlineLevel="0" collapsed="false">
      <c r="A848" s="1" t="s">
        <v>569</v>
      </c>
      <c r="C848" s="3" t="s">
        <v>584</v>
      </c>
      <c r="D848" s="4" t="s">
        <v>571</v>
      </c>
      <c r="F848" s="6" t="s">
        <v>585</v>
      </c>
      <c r="G848" s="7" t="str">
        <f aca="false">HYPERLINK(CONCATENATE("http://crfop.gdos.gov.pl/CRFOP/widok/viewpomnikprzyrody.jsf?fop=","PL.ZIPOP.1393.PP.1014023.1945"),"(kliknij lub Ctrl+kliknij)")</f>
        <v>(kliknij lub Ctrl+kliknij)</v>
      </c>
      <c r="H848" s="0" t="s">
        <v>849</v>
      </c>
    </row>
    <row r="849" customFormat="false" ht="12.8" hidden="false" customHeight="false" outlineLevel="0" collapsed="false">
      <c r="A849" s="1" t="s">
        <v>569</v>
      </c>
      <c r="C849" s="3" t="s">
        <v>584</v>
      </c>
      <c r="D849" s="4" t="s">
        <v>571</v>
      </c>
      <c r="F849" s="6" t="s">
        <v>585</v>
      </c>
      <c r="G849" s="7" t="str">
        <f aca="false">HYPERLINK(CONCATENATE("http://crfop.gdos.gov.pl/CRFOP/widok/viewpomnikprzyrody.jsf?fop=","PL.ZIPOP.1393.PP.1014023.1947"),"(kliknij lub Ctrl+kliknij)")</f>
        <v>(kliknij lub Ctrl+kliknij)</v>
      </c>
      <c r="H849" s="0" t="s">
        <v>849</v>
      </c>
    </row>
    <row r="850" customFormat="false" ht="12.8" hidden="false" customHeight="false" outlineLevel="0" collapsed="false">
      <c r="A850" s="1" t="s">
        <v>569</v>
      </c>
      <c r="C850" s="3" t="s">
        <v>584</v>
      </c>
      <c r="D850" s="4" t="s">
        <v>571</v>
      </c>
      <c r="F850" s="6" t="s">
        <v>585</v>
      </c>
      <c r="G850" s="7" t="str">
        <f aca="false">HYPERLINK(CONCATENATE("http://crfop.gdos.gov.pl/CRFOP/widok/viewpomnikprzyrody.jsf?fop=","PL.ZIPOP.1393.PP.1014023.1948"),"(kliknij lub Ctrl+kliknij)")</f>
        <v>(kliknij lub Ctrl+kliknij)</v>
      </c>
      <c r="H850" s="0" t="s">
        <v>849</v>
      </c>
    </row>
    <row r="851" customFormat="false" ht="12.8" hidden="false" customHeight="false" outlineLevel="0" collapsed="false">
      <c r="A851" s="1" t="s">
        <v>569</v>
      </c>
      <c r="C851" s="3" t="s">
        <v>584</v>
      </c>
      <c r="D851" s="4" t="s">
        <v>571</v>
      </c>
      <c r="F851" s="6" t="s">
        <v>585</v>
      </c>
      <c r="G851" s="7" t="str">
        <f aca="false">HYPERLINK(CONCATENATE("http://crfop.gdos.gov.pl/CRFOP/widok/viewpomnikprzyrody.jsf?fop=","PL.ZIPOP.1393.PP.1014023.1949"),"(kliknij lub Ctrl+kliknij)")</f>
        <v>(kliknij lub Ctrl+kliknij)</v>
      </c>
      <c r="H851" s="0" t="s">
        <v>849</v>
      </c>
    </row>
    <row r="852" customFormat="false" ht="12.8" hidden="false" customHeight="false" outlineLevel="0" collapsed="false">
      <c r="A852" s="1" t="s">
        <v>569</v>
      </c>
      <c r="C852" s="3" t="s">
        <v>584</v>
      </c>
      <c r="D852" s="4" t="s">
        <v>571</v>
      </c>
      <c r="F852" s="6" t="s">
        <v>585</v>
      </c>
      <c r="G852" s="7" t="str">
        <f aca="false">HYPERLINK(CONCATENATE("http://crfop.gdos.gov.pl/CRFOP/widok/viewpomnikprzyrody.jsf?fop=","PL.ZIPOP.1393.PP.1014023.1950"),"(kliknij lub Ctrl+kliknij)")</f>
        <v>(kliknij lub Ctrl+kliknij)</v>
      </c>
      <c r="H852" s="0" t="s">
        <v>849</v>
      </c>
    </row>
    <row r="853" customFormat="false" ht="12.8" hidden="false" customHeight="false" outlineLevel="0" collapsed="false">
      <c r="A853" s="1" t="s">
        <v>569</v>
      </c>
      <c r="C853" s="3" t="s">
        <v>584</v>
      </c>
      <c r="D853" s="4" t="s">
        <v>571</v>
      </c>
      <c r="F853" s="6" t="s">
        <v>585</v>
      </c>
      <c r="G853" s="7" t="str">
        <f aca="false">HYPERLINK(CONCATENATE("http://crfop.gdos.gov.pl/CRFOP/widok/viewpomnikprzyrody.jsf?fop=","PL.ZIPOP.1393.PP.1014023.1951"),"(kliknij lub Ctrl+kliknij)")</f>
        <v>(kliknij lub Ctrl+kliknij)</v>
      </c>
      <c r="H853" s="0" t="s">
        <v>849</v>
      </c>
    </row>
    <row r="854" customFormat="false" ht="12.8" hidden="false" customHeight="false" outlineLevel="0" collapsed="false">
      <c r="A854" s="1" t="s">
        <v>569</v>
      </c>
      <c r="C854" s="3" t="s">
        <v>584</v>
      </c>
      <c r="D854" s="4" t="s">
        <v>571</v>
      </c>
      <c r="F854" s="6" t="s">
        <v>585</v>
      </c>
      <c r="G854" s="7" t="str">
        <f aca="false">HYPERLINK(CONCATENATE("http://crfop.gdos.gov.pl/CRFOP/widok/viewpomnikprzyrody.jsf?fop=","PL.ZIPOP.1393.PP.1014023.1952"),"(kliknij lub Ctrl+kliknij)")</f>
        <v>(kliknij lub Ctrl+kliknij)</v>
      </c>
      <c r="H854" s="0" t="s">
        <v>849</v>
      </c>
    </row>
    <row r="855" customFormat="false" ht="12.8" hidden="false" customHeight="false" outlineLevel="0" collapsed="false">
      <c r="A855" s="1" t="s">
        <v>569</v>
      </c>
      <c r="C855" s="3" t="s">
        <v>584</v>
      </c>
      <c r="D855" s="4" t="s">
        <v>571</v>
      </c>
      <c r="F855" s="6" t="s">
        <v>585</v>
      </c>
      <c r="G855" s="7" t="str">
        <f aca="false">HYPERLINK(CONCATENATE("http://crfop.gdos.gov.pl/CRFOP/widok/viewpomnikprzyrody.jsf?fop=","PL.ZIPOP.1393.PP.1014023.1953"),"(kliknij lub Ctrl+kliknij)")</f>
        <v>(kliknij lub Ctrl+kliknij)</v>
      </c>
      <c r="H855" s="0" t="s">
        <v>849</v>
      </c>
    </row>
    <row r="856" customFormat="false" ht="12.8" hidden="false" customHeight="false" outlineLevel="0" collapsed="false">
      <c r="A856" s="1" t="s">
        <v>569</v>
      </c>
      <c r="C856" s="3" t="s">
        <v>643</v>
      </c>
      <c r="D856" s="4" t="s">
        <v>571</v>
      </c>
      <c r="F856" s="6" t="s">
        <v>445</v>
      </c>
      <c r="G856" s="7" t="str">
        <f aca="false">HYPERLINK(CONCATENATE("http://crfop.gdos.gov.pl/CRFOP/widok/viewpomnikprzyrody.jsf?fop=","PL.ZIPOP.1393.PP.1014032.1716"),"(kliknij lub Ctrl+kliknij)")</f>
        <v>(kliknij lub Ctrl+kliknij)</v>
      </c>
      <c r="H856" s="0" t="s">
        <v>850</v>
      </c>
    </row>
    <row r="857" customFormat="false" ht="12.8" hidden="false" customHeight="false" outlineLevel="0" collapsed="false">
      <c r="A857" s="1" t="s">
        <v>569</v>
      </c>
      <c r="C857" s="3" t="s">
        <v>643</v>
      </c>
      <c r="D857" s="4" t="s">
        <v>571</v>
      </c>
      <c r="F857" s="6" t="s">
        <v>445</v>
      </c>
      <c r="G857" s="7" t="str">
        <f aca="false">HYPERLINK(CONCATENATE("http://crfop.gdos.gov.pl/CRFOP/widok/viewpomnikprzyrody.jsf?fop=","PL.ZIPOP.1393.PP.1014032.1717"),"(kliknij lub Ctrl+kliknij)")</f>
        <v>(kliknij lub Ctrl+kliknij)</v>
      </c>
      <c r="H857" s="0" t="s">
        <v>850</v>
      </c>
    </row>
    <row r="858" customFormat="false" ht="12.8" hidden="false" customHeight="false" outlineLevel="0" collapsed="false">
      <c r="A858" s="1" t="s">
        <v>569</v>
      </c>
      <c r="C858" s="3" t="s">
        <v>584</v>
      </c>
      <c r="D858" s="4" t="s">
        <v>571</v>
      </c>
      <c r="F858" s="6" t="s">
        <v>585</v>
      </c>
      <c r="G858" s="7" t="str">
        <f aca="false">HYPERLINK(CONCATENATE("http://crfop.gdos.gov.pl/CRFOP/widok/viewpomnikprzyrody.jsf?fop=","PL.ZIPOP.1393.PP.1014032.1718"),"(kliknij lub Ctrl+kliknij)")</f>
        <v>(kliknij lub Ctrl+kliknij)</v>
      </c>
      <c r="H858" s="0" t="s">
        <v>850</v>
      </c>
    </row>
    <row r="859" customFormat="false" ht="12.8" hidden="false" customHeight="false" outlineLevel="0" collapsed="false">
      <c r="A859" s="1" t="s">
        <v>569</v>
      </c>
      <c r="C859" s="3" t="s">
        <v>584</v>
      </c>
      <c r="D859" s="4" t="s">
        <v>571</v>
      </c>
      <c r="F859" s="6" t="s">
        <v>585</v>
      </c>
      <c r="G859" s="7" t="str">
        <f aca="false">HYPERLINK(CONCATENATE("http://crfop.gdos.gov.pl/CRFOP/widok/viewpomnikprzyrody.jsf?fop=","PL.ZIPOP.1393.PP.1014032.1719"),"(kliknij lub Ctrl+kliknij)")</f>
        <v>(kliknij lub Ctrl+kliknij)</v>
      </c>
      <c r="H859" s="0" t="s">
        <v>850</v>
      </c>
    </row>
    <row r="860" customFormat="false" ht="12.8" hidden="false" customHeight="false" outlineLevel="0" collapsed="false">
      <c r="A860" s="1" t="s">
        <v>569</v>
      </c>
      <c r="C860" s="3" t="s">
        <v>584</v>
      </c>
      <c r="D860" s="4" t="s">
        <v>571</v>
      </c>
      <c r="F860" s="6" t="s">
        <v>585</v>
      </c>
      <c r="G860" s="7" t="str">
        <f aca="false">HYPERLINK(CONCATENATE("http://crfop.gdos.gov.pl/CRFOP/widok/viewpomnikprzyrody.jsf?fop=","PL.ZIPOP.1393.PP.1014032.1720"),"(kliknij lub Ctrl+kliknij)")</f>
        <v>(kliknij lub Ctrl+kliknij)</v>
      </c>
      <c r="H860" s="0" t="s">
        <v>850</v>
      </c>
    </row>
    <row r="861" customFormat="false" ht="12.8" hidden="false" customHeight="false" outlineLevel="0" collapsed="false">
      <c r="A861" s="1" t="s">
        <v>569</v>
      </c>
      <c r="C861" s="3" t="s">
        <v>584</v>
      </c>
      <c r="D861" s="4" t="s">
        <v>571</v>
      </c>
      <c r="F861" s="6" t="s">
        <v>585</v>
      </c>
      <c r="G861" s="7" t="str">
        <f aca="false">HYPERLINK(CONCATENATE("http://crfop.gdos.gov.pl/CRFOP/widok/viewpomnikprzyrody.jsf?fop=","PL.ZIPOP.1393.PP.1014032.1721"),"(kliknij lub Ctrl+kliknij)")</f>
        <v>(kliknij lub Ctrl+kliknij)</v>
      </c>
      <c r="H861" s="0" t="s">
        <v>850</v>
      </c>
    </row>
    <row r="862" customFormat="false" ht="12.8" hidden="false" customHeight="false" outlineLevel="0" collapsed="false">
      <c r="A862" s="1" t="s">
        <v>569</v>
      </c>
      <c r="C862" s="3" t="s">
        <v>584</v>
      </c>
      <c r="D862" s="4" t="s">
        <v>571</v>
      </c>
      <c r="F862" s="6" t="s">
        <v>585</v>
      </c>
      <c r="G862" s="7" t="str">
        <f aca="false">HYPERLINK(CONCATENATE("http://crfop.gdos.gov.pl/CRFOP/widok/viewpomnikprzyrody.jsf?fop=","PL.ZIPOP.1393.PP.1014032.1722"),"(kliknij lub Ctrl+kliknij)")</f>
        <v>(kliknij lub Ctrl+kliknij)</v>
      </c>
      <c r="H862" s="0" t="s">
        <v>850</v>
      </c>
    </row>
    <row r="863" customFormat="false" ht="12.8" hidden="false" customHeight="false" outlineLevel="0" collapsed="false">
      <c r="A863" s="1" t="s">
        <v>569</v>
      </c>
      <c r="C863" s="3" t="s">
        <v>584</v>
      </c>
      <c r="D863" s="4" t="s">
        <v>571</v>
      </c>
      <c r="F863" s="6" t="s">
        <v>585</v>
      </c>
      <c r="G863" s="7" t="str">
        <f aca="false">HYPERLINK(CONCATENATE("http://crfop.gdos.gov.pl/CRFOP/widok/viewpomnikprzyrody.jsf?fop=","PL.ZIPOP.1393.PP.1014032.1723"),"(kliknij lub Ctrl+kliknij)")</f>
        <v>(kliknij lub Ctrl+kliknij)</v>
      </c>
      <c r="H863" s="0" t="s">
        <v>850</v>
      </c>
    </row>
    <row r="864" customFormat="false" ht="12.8" hidden="false" customHeight="false" outlineLevel="0" collapsed="false">
      <c r="A864" s="1" t="s">
        <v>569</v>
      </c>
      <c r="C864" s="3" t="s">
        <v>584</v>
      </c>
      <c r="D864" s="4" t="s">
        <v>571</v>
      </c>
      <c r="F864" s="6" t="s">
        <v>585</v>
      </c>
      <c r="G864" s="7" t="str">
        <f aca="false">HYPERLINK(CONCATENATE("http://crfop.gdos.gov.pl/CRFOP/widok/viewpomnikprzyrody.jsf?fop=","PL.ZIPOP.1393.PP.1014032.1724"),"(kliknij lub Ctrl+kliknij)")</f>
        <v>(kliknij lub Ctrl+kliknij)</v>
      </c>
      <c r="H864" s="0" t="s">
        <v>850</v>
      </c>
    </row>
    <row r="865" customFormat="false" ht="12.8" hidden="false" customHeight="false" outlineLevel="0" collapsed="false">
      <c r="A865" s="1" t="s">
        <v>569</v>
      </c>
      <c r="C865" s="3" t="s">
        <v>584</v>
      </c>
      <c r="D865" s="4" t="s">
        <v>571</v>
      </c>
      <c r="F865" s="6" t="s">
        <v>585</v>
      </c>
      <c r="G865" s="7" t="str">
        <f aca="false">HYPERLINK(CONCATENATE("http://crfop.gdos.gov.pl/CRFOP/widok/viewpomnikprzyrody.jsf?fop=","PL.ZIPOP.1393.PP.1014032.1725"),"(kliknij lub Ctrl+kliknij)")</f>
        <v>(kliknij lub Ctrl+kliknij)</v>
      </c>
      <c r="H865" s="0" t="s">
        <v>850</v>
      </c>
    </row>
    <row r="866" customFormat="false" ht="12.8" hidden="false" customHeight="false" outlineLevel="0" collapsed="false">
      <c r="A866" s="1" t="s">
        <v>569</v>
      </c>
      <c r="C866" s="3" t="s">
        <v>584</v>
      </c>
      <c r="D866" s="4" t="s">
        <v>571</v>
      </c>
      <c r="F866" s="6" t="s">
        <v>585</v>
      </c>
      <c r="G866" s="7" t="str">
        <f aca="false">HYPERLINK(CONCATENATE("http://crfop.gdos.gov.pl/CRFOP/widok/viewpomnikprzyrody.jsf?fop=","PL.ZIPOP.1393.PP.1014032.1726"),"(kliknij lub Ctrl+kliknij)")</f>
        <v>(kliknij lub Ctrl+kliknij)</v>
      </c>
      <c r="H866" s="0" t="s">
        <v>850</v>
      </c>
    </row>
    <row r="867" customFormat="false" ht="12.8" hidden="false" customHeight="false" outlineLevel="0" collapsed="false">
      <c r="A867" s="1" t="s">
        <v>569</v>
      </c>
      <c r="C867" s="3" t="s">
        <v>584</v>
      </c>
      <c r="D867" s="4" t="s">
        <v>571</v>
      </c>
      <c r="F867" s="6" t="s">
        <v>585</v>
      </c>
      <c r="G867" s="7" t="str">
        <f aca="false">HYPERLINK(CONCATENATE("http://crfop.gdos.gov.pl/CRFOP/widok/viewpomnikprzyrody.jsf?fop=","PL.ZIPOP.1393.PP.1014032.1727"),"(kliknij lub Ctrl+kliknij)")</f>
        <v>(kliknij lub Ctrl+kliknij)</v>
      </c>
      <c r="H867" s="0" t="s">
        <v>850</v>
      </c>
    </row>
    <row r="868" customFormat="false" ht="12.8" hidden="false" customHeight="false" outlineLevel="0" collapsed="false">
      <c r="A868" s="1" t="s">
        <v>569</v>
      </c>
      <c r="C868" s="3" t="s">
        <v>584</v>
      </c>
      <c r="D868" s="4" t="s">
        <v>571</v>
      </c>
      <c r="F868" s="6" t="s">
        <v>585</v>
      </c>
      <c r="G868" s="7" t="str">
        <f aca="false">HYPERLINK(CONCATENATE("http://crfop.gdos.gov.pl/CRFOP/widok/viewpomnikprzyrody.jsf?fop=","PL.ZIPOP.1393.PP.1014032.1728"),"(kliknij lub Ctrl+kliknij)")</f>
        <v>(kliknij lub Ctrl+kliknij)</v>
      </c>
      <c r="H868" s="0" t="s">
        <v>850</v>
      </c>
    </row>
    <row r="869" customFormat="false" ht="12.8" hidden="false" customHeight="false" outlineLevel="0" collapsed="false">
      <c r="A869" s="1" t="s">
        <v>569</v>
      </c>
      <c r="C869" s="3" t="s">
        <v>584</v>
      </c>
      <c r="D869" s="4" t="s">
        <v>571</v>
      </c>
      <c r="F869" s="6" t="s">
        <v>585</v>
      </c>
      <c r="G869" s="7" t="str">
        <f aca="false">HYPERLINK(CONCATENATE("http://crfop.gdos.gov.pl/CRFOP/widok/viewpomnikprzyrody.jsf?fop=","PL.ZIPOP.1393.PP.1014032.1729"),"(kliknij lub Ctrl+kliknij)")</f>
        <v>(kliknij lub Ctrl+kliknij)</v>
      </c>
      <c r="H869" s="0" t="s">
        <v>850</v>
      </c>
    </row>
    <row r="870" customFormat="false" ht="12.8" hidden="false" customHeight="false" outlineLevel="0" collapsed="false">
      <c r="A870" s="1" t="s">
        <v>569</v>
      </c>
      <c r="C870" s="3" t="s">
        <v>584</v>
      </c>
      <c r="D870" s="4" t="s">
        <v>571</v>
      </c>
      <c r="F870" s="6" t="s">
        <v>585</v>
      </c>
      <c r="G870" s="7" t="str">
        <f aca="false">HYPERLINK(CONCATENATE("http://crfop.gdos.gov.pl/CRFOP/widok/viewpomnikprzyrody.jsf?fop=","PL.ZIPOP.1393.PP.1014032.1730"),"(kliknij lub Ctrl+kliknij)")</f>
        <v>(kliknij lub Ctrl+kliknij)</v>
      </c>
      <c r="H870" s="0" t="s">
        <v>850</v>
      </c>
    </row>
    <row r="871" customFormat="false" ht="12.8" hidden="false" customHeight="false" outlineLevel="0" collapsed="false">
      <c r="A871" s="1" t="s">
        <v>569</v>
      </c>
      <c r="C871" s="3" t="s">
        <v>584</v>
      </c>
      <c r="D871" s="4" t="s">
        <v>571</v>
      </c>
      <c r="F871" s="6" t="s">
        <v>585</v>
      </c>
      <c r="G871" s="7" t="str">
        <f aca="false">HYPERLINK(CONCATENATE("http://crfop.gdos.gov.pl/CRFOP/widok/viewpomnikprzyrody.jsf?fop=","PL.ZIPOP.1393.PP.1014032.1731"),"(kliknij lub Ctrl+kliknij)")</f>
        <v>(kliknij lub Ctrl+kliknij)</v>
      </c>
      <c r="H871" s="0" t="s">
        <v>850</v>
      </c>
    </row>
    <row r="872" customFormat="false" ht="12.8" hidden="false" customHeight="false" outlineLevel="0" collapsed="false">
      <c r="A872" s="1" t="s">
        <v>569</v>
      </c>
      <c r="C872" s="3" t="s">
        <v>584</v>
      </c>
      <c r="D872" s="4" t="s">
        <v>571</v>
      </c>
      <c r="F872" s="6" t="s">
        <v>585</v>
      </c>
      <c r="G872" s="7" t="str">
        <f aca="false">HYPERLINK(CONCATENATE("http://crfop.gdos.gov.pl/CRFOP/widok/viewpomnikprzyrody.jsf?fop=","PL.ZIPOP.1393.PP.1014032.1732"),"(kliknij lub Ctrl+kliknij)")</f>
        <v>(kliknij lub Ctrl+kliknij)</v>
      </c>
      <c r="H872" s="0" t="s">
        <v>850</v>
      </c>
    </row>
    <row r="873" customFormat="false" ht="12.8" hidden="false" customHeight="false" outlineLevel="0" collapsed="false">
      <c r="A873" s="1" t="s">
        <v>569</v>
      </c>
      <c r="C873" s="3" t="s">
        <v>584</v>
      </c>
      <c r="D873" s="4" t="s">
        <v>571</v>
      </c>
      <c r="F873" s="6" t="s">
        <v>585</v>
      </c>
      <c r="G873" s="7" t="str">
        <f aca="false">HYPERLINK(CONCATENATE("http://crfop.gdos.gov.pl/CRFOP/widok/viewpomnikprzyrody.jsf?fop=","PL.ZIPOP.1393.PP.1014032.1733"),"(kliknij lub Ctrl+kliknij)")</f>
        <v>(kliknij lub Ctrl+kliknij)</v>
      </c>
      <c r="H873" s="0" t="s">
        <v>850</v>
      </c>
    </row>
    <row r="874" customFormat="false" ht="12.8" hidden="false" customHeight="false" outlineLevel="0" collapsed="false">
      <c r="A874" s="1" t="s">
        <v>569</v>
      </c>
      <c r="C874" s="3" t="s">
        <v>584</v>
      </c>
      <c r="D874" s="4" t="s">
        <v>571</v>
      </c>
      <c r="F874" s="6" t="s">
        <v>585</v>
      </c>
      <c r="G874" s="7" t="str">
        <f aca="false">HYPERLINK(CONCATENATE("http://crfop.gdos.gov.pl/CRFOP/widok/viewpomnikprzyrody.jsf?fop=","PL.ZIPOP.1393.PP.1014032.1734"),"(kliknij lub Ctrl+kliknij)")</f>
        <v>(kliknij lub Ctrl+kliknij)</v>
      </c>
      <c r="H874" s="0" t="s">
        <v>850</v>
      </c>
    </row>
    <row r="875" customFormat="false" ht="12.8" hidden="false" customHeight="false" outlineLevel="0" collapsed="false">
      <c r="A875" s="1" t="s">
        <v>569</v>
      </c>
      <c r="C875" s="3" t="s">
        <v>584</v>
      </c>
      <c r="D875" s="4" t="s">
        <v>571</v>
      </c>
      <c r="F875" s="6" t="s">
        <v>585</v>
      </c>
      <c r="G875" s="7" t="str">
        <f aca="false">HYPERLINK(CONCATENATE("http://crfop.gdos.gov.pl/CRFOP/widok/viewpomnikprzyrody.jsf?fop=","PL.ZIPOP.1393.PP.1014032.1736"),"(kliknij lub Ctrl+kliknij)")</f>
        <v>(kliknij lub Ctrl+kliknij)</v>
      </c>
      <c r="H875" s="0" t="s">
        <v>850</v>
      </c>
    </row>
    <row r="876" customFormat="false" ht="12.8" hidden="false" customHeight="false" outlineLevel="0" collapsed="false">
      <c r="A876" s="1" t="s">
        <v>569</v>
      </c>
      <c r="C876" s="3" t="s">
        <v>584</v>
      </c>
      <c r="D876" s="4" t="s">
        <v>571</v>
      </c>
      <c r="F876" s="6" t="s">
        <v>585</v>
      </c>
      <c r="G876" s="7" t="str">
        <f aca="false">HYPERLINK(CONCATENATE("http://crfop.gdos.gov.pl/CRFOP/widok/viewpomnikprzyrody.jsf?fop=","PL.ZIPOP.1393.PP.1014032.1737"),"(kliknij lub Ctrl+kliknij)")</f>
        <v>(kliknij lub Ctrl+kliknij)</v>
      </c>
      <c r="H876" s="0" t="s">
        <v>850</v>
      </c>
    </row>
    <row r="877" customFormat="false" ht="12.8" hidden="false" customHeight="false" outlineLevel="0" collapsed="false">
      <c r="A877" s="1" t="s">
        <v>569</v>
      </c>
      <c r="C877" s="3" t="s">
        <v>584</v>
      </c>
      <c r="D877" s="4" t="s">
        <v>571</v>
      </c>
      <c r="F877" s="6" t="s">
        <v>585</v>
      </c>
      <c r="G877" s="7" t="str">
        <f aca="false">HYPERLINK(CONCATENATE("http://crfop.gdos.gov.pl/CRFOP/widok/viewpomnikprzyrody.jsf?fop=","PL.ZIPOP.1393.PP.1014032.1738"),"(kliknij lub Ctrl+kliknij)")</f>
        <v>(kliknij lub Ctrl+kliknij)</v>
      </c>
      <c r="H877" s="0" t="s">
        <v>850</v>
      </c>
    </row>
    <row r="878" customFormat="false" ht="12.8" hidden="false" customHeight="false" outlineLevel="0" collapsed="false">
      <c r="A878" s="1" t="s">
        <v>569</v>
      </c>
      <c r="C878" s="3" t="s">
        <v>584</v>
      </c>
      <c r="D878" s="4" t="s">
        <v>571</v>
      </c>
      <c r="F878" s="6" t="s">
        <v>585</v>
      </c>
      <c r="G878" s="7" t="str">
        <f aca="false">HYPERLINK(CONCATENATE("http://crfop.gdos.gov.pl/CRFOP/widok/viewpomnikprzyrody.jsf?fop=","PL.ZIPOP.1393.PP.1014032.1739"),"(kliknij lub Ctrl+kliknij)")</f>
        <v>(kliknij lub Ctrl+kliknij)</v>
      </c>
      <c r="H878" s="0" t="s">
        <v>850</v>
      </c>
    </row>
    <row r="879" customFormat="false" ht="12.8" hidden="false" customHeight="false" outlineLevel="0" collapsed="false">
      <c r="A879" s="1" t="s">
        <v>569</v>
      </c>
      <c r="C879" s="3" t="s">
        <v>584</v>
      </c>
      <c r="D879" s="4" t="s">
        <v>571</v>
      </c>
      <c r="F879" s="6" t="s">
        <v>585</v>
      </c>
      <c r="G879" s="7" t="str">
        <f aca="false">HYPERLINK(CONCATENATE("http://crfop.gdos.gov.pl/CRFOP/widok/viewpomnikprzyrody.jsf?fop=","PL.ZIPOP.1393.PP.1014032.1740"),"(kliknij lub Ctrl+kliknij)")</f>
        <v>(kliknij lub Ctrl+kliknij)</v>
      </c>
      <c r="H879" s="0" t="s">
        <v>850</v>
      </c>
    </row>
    <row r="880" customFormat="false" ht="12.8" hidden="false" customHeight="false" outlineLevel="0" collapsed="false">
      <c r="A880" s="1" t="s">
        <v>569</v>
      </c>
      <c r="C880" s="3" t="s">
        <v>584</v>
      </c>
      <c r="D880" s="4" t="s">
        <v>571</v>
      </c>
      <c r="F880" s="6" t="s">
        <v>585</v>
      </c>
      <c r="G880" s="7" t="str">
        <f aca="false">HYPERLINK(CONCATENATE("http://crfop.gdos.gov.pl/CRFOP/widok/viewpomnikprzyrody.jsf?fop=","PL.ZIPOP.1393.PP.1014032.1741"),"(kliknij lub Ctrl+kliknij)")</f>
        <v>(kliknij lub Ctrl+kliknij)</v>
      </c>
      <c r="H880" s="0" t="s">
        <v>850</v>
      </c>
    </row>
    <row r="881" customFormat="false" ht="12.8" hidden="false" customHeight="false" outlineLevel="0" collapsed="false">
      <c r="A881" s="1" t="s">
        <v>569</v>
      </c>
      <c r="C881" s="3" t="s">
        <v>584</v>
      </c>
      <c r="D881" s="4" t="s">
        <v>571</v>
      </c>
      <c r="F881" s="6" t="s">
        <v>585</v>
      </c>
      <c r="G881" s="7" t="str">
        <f aca="false">HYPERLINK(CONCATENATE("http://crfop.gdos.gov.pl/CRFOP/widok/viewpomnikprzyrody.jsf?fop=","PL.ZIPOP.1393.PP.1014042.1824"),"(kliknij lub Ctrl+kliknij)")</f>
        <v>(kliknij lub Ctrl+kliknij)</v>
      </c>
      <c r="H881" s="0" t="s">
        <v>851</v>
      </c>
    </row>
    <row r="882" customFormat="false" ht="12.8" hidden="false" customHeight="false" outlineLevel="0" collapsed="false">
      <c r="A882" s="1" t="s">
        <v>569</v>
      </c>
      <c r="C882" s="3" t="s">
        <v>584</v>
      </c>
      <c r="D882" s="4" t="s">
        <v>571</v>
      </c>
      <c r="F882" s="6" t="s">
        <v>585</v>
      </c>
      <c r="G882" s="7" t="str">
        <f aca="false">HYPERLINK(CONCATENATE("http://crfop.gdos.gov.pl/CRFOP/widok/viewpomnikprzyrody.jsf?fop=","PL.ZIPOP.1393.PP.1014042.1825"),"(kliknij lub Ctrl+kliknij)")</f>
        <v>(kliknij lub Ctrl+kliknij)</v>
      </c>
      <c r="H882" s="0" t="s">
        <v>851</v>
      </c>
    </row>
    <row r="883" customFormat="false" ht="12.8" hidden="false" customHeight="false" outlineLevel="0" collapsed="false">
      <c r="A883" s="1" t="s">
        <v>569</v>
      </c>
      <c r="C883" s="3" t="s">
        <v>584</v>
      </c>
      <c r="D883" s="4" t="s">
        <v>571</v>
      </c>
      <c r="F883" s="6" t="s">
        <v>585</v>
      </c>
      <c r="G883" s="7" t="str">
        <f aca="false">HYPERLINK(CONCATENATE("http://crfop.gdos.gov.pl/CRFOP/widok/viewpomnikprzyrody.jsf?fop=","PL.ZIPOP.1393.PP.1014042.1826"),"(kliknij lub Ctrl+kliknij)")</f>
        <v>(kliknij lub Ctrl+kliknij)</v>
      </c>
      <c r="H883" s="0" t="s">
        <v>851</v>
      </c>
    </row>
    <row r="884" customFormat="false" ht="12.8" hidden="false" customHeight="false" outlineLevel="0" collapsed="false">
      <c r="A884" s="1" t="s">
        <v>569</v>
      </c>
      <c r="C884" s="3" t="s">
        <v>584</v>
      </c>
      <c r="D884" s="4" t="s">
        <v>571</v>
      </c>
      <c r="F884" s="6" t="s">
        <v>585</v>
      </c>
      <c r="G884" s="7" t="str">
        <f aca="false">HYPERLINK(CONCATENATE("http://crfop.gdos.gov.pl/CRFOP/widok/viewpomnikprzyrody.jsf?fop=","PL.ZIPOP.1393.PP.1014042.1827"),"(kliknij lub Ctrl+kliknij)")</f>
        <v>(kliknij lub Ctrl+kliknij)</v>
      </c>
      <c r="H884" s="0" t="s">
        <v>851</v>
      </c>
    </row>
    <row r="885" customFormat="false" ht="12.8" hidden="false" customHeight="false" outlineLevel="0" collapsed="false">
      <c r="A885" s="1" t="s">
        <v>569</v>
      </c>
      <c r="C885" s="3" t="s">
        <v>584</v>
      </c>
      <c r="D885" s="4" t="s">
        <v>571</v>
      </c>
      <c r="F885" s="6" t="s">
        <v>585</v>
      </c>
      <c r="G885" s="7" t="str">
        <f aca="false">HYPERLINK(CONCATENATE("http://crfop.gdos.gov.pl/CRFOP/widok/viewpomnikprzyrody.jsf?fop=","PL.ZIPOP.1393.PP.1014042.1828"),"(kliknij lub Ctrl+kliknij)")</f>
        <v>(kliknij lub Ctrl+kliknij)</v>
      </c>
      <c r="H885" s="0" t="s">
        <v>851</v>
      </c>
    </row>
    <row r="886" customFormat="false" ht="12.8" hidden="false" customHeight="false" outlineLevel="0" collapsed="false">
      <c r="A886" s="1" t="s">
        <v>569</v>
      </c>
      <c r="C886" s="3" t="s">
        <v>584</v>
      </c>
      <c r="D886" s="4" t="s">
        <v>571</v>
      </c>
      <c r="F886" s="6" t="s">
        <v>585</v>
      </c>
      <c r="G886" s="7" t="str">
        <f aca="false">HYPERLINK(CONCATENATE("http://crfop.gdos.gov.pl/CRFOP/widok/viewpomnikprzyrody.jsf?fop=","PL.ZIPOP.1393.PP.1014042.1829"),"(kliknij lub Ctrl+kliknij)")</f>
        <v>(kliknij lub Ctrl+kliknij)</v>
      </c>
      <c r="H886" s="0" t="s">
        <v>851</v>
      </c>
    </row>
    <row r="887" customFormat="false" ht="12.8" hidden="false" customHeight="false" outlineLevel="0" collapsed="false">
      <c r="A887" s="1" t="s">
        <v>569</v>
      </c>
      <c r="C887" s="3" t="s">
        <v>584</v>
      </c>
      <c r="D887" s="4" t="s">
        <v>571</v>
      </c>
      <c r="F887" s="6" t="s">
        <v>585</v>
      </c>
      <c r="G887" s="7" t="str">
        <f aca="false">HYPERLINK(CONCATENATE("http://crfop.gdos.gov.pl/CRFOP/widok/viewpomnikprzyrody.jsf?fop=","PL.ZIPOP.1393.PP.1014042.1830"),"(kliknij lub Ctrl+kliknij)")</f>
        <v>(kliknij lub Ctrl+kliknij)</v>
      </c>
      <c r="H887" s="0" t="s">
        <v>851</v>
      </c>
    </row>
    <row r="888" customFormat="false" ht="12.8" hidden="false" customHeight="false" outlineLevel="0" collapsed="false">
      <c r="A888" s="1" t="s">
        <v>569</v>
      </c>
      <c r="C888" s="3" t="s">
        <v>584</v>
      </c>
      <c r="D888" s="4" t="s">
        <v>571</v>
      </c>
      <c r="F888" s="6" t="s">
        <v>585</v>
      </c>
      <c r="G888" s="7" t="str">
        <f aca="false">HYPERLINK(CONCATENATE("http://crfop.gdos.gov.pl/CRFOP/widok/viewpomnikprzyrody.jsf?fop=","PL.ZIPOP.1393.PP.1014042.1831"),"(kliknij lub Ctrl+kliknij)")</f>
        <v>(kliknij lub Ctrl+kliknij)</v>
      </c>
      <c r="H888" s="0" t="s">
        <v>851</v>
      </c>
    </row>
    <row r="889" customFormat="false" ht="12.8" hidden="false" customHeight="false" outlineLevel="0" collapsed="false">
      <c r="A889" s="1" t="s">
        <v>569</v>
      </c>
      <c r="C889" s="3" t="s">
        <v>584</v>
      </c>
      <c r="D889" s="4" t="s">
        <v>571</v>
      </c>
      <c r="F889" s="6" t="s">
        <v>585</v>
      </c>
      <c r="G889" s="7" t="str">
        <f aca="false">HYPERLINK(CONCATENATE("http://crfop.gdos.gov.pl/CRFOP/widok/viewpomnikprzyrody.jsf?fop=","PL.ZIPOP.1393.PP.1014042.1832"),"(kliknij lub Ctrl+kliknij)")</f>
        <v>(kliknij lub Ctrl+kliknij)</v>
      </c>
      <c r="H889" s="0" t="s">
        <v>851</v>
      </c>
    </row>
    <row r="890" customFormat="false" ht="12.8" hidden="false" customHeight="false" outlineLevel="0" collapsed="false">
      <c r="A890" s="1" t="s">
        <v>569</v>
      </c>
      <c r="C890" s="3" t="s">
        <v>584</v>
      </c>
      <c r="D890" s="4" t="s">
        <v>571</v>
      </c>
      <c r="F890" s="6" t="s">
        <v>585</v>
      </c>
      <c r="G890" s="7" t="str">
        <f aca="false">HYPERLINK(CONCATENATE("http://crfop.gdos.gov.pl/CRFOP/widok/viewpomnikprzyrody.jsf?fop=","PL.ZIPOP.1393.PP.1014042.1833"),"(kliknij lub Ctrl+kliknij)")</f>
        <v>(kliknij lub Ctrl+kliknij)</v>
      </c>
      <c r="H890" s="0" t="s">
        <v>851</v>
      </c>
    </row>
    <row r="891" customFormat="false" ht="12.8" hidden="false" customHeight="false" outlineLevel="0" collapsed="false">
      <c r="A891" s="1" t="s">
        <v>569</v>
      </c>
      <c r="C891" s="3" t="s">
        <v>584</v>
      </c>
      <c r="D891" s="4" t="s">
        <v>571</v>
      </c>
      <c r="F891" s="6" t="s">
        <v>585</v>
      </c>
      <c r="G891" s="7" t="str">
        <f aca="false">HYPERLINK(CONCATENATE("http://crfop.gdos.gov.pl/CRFOP/widok/viewpomnikprzyrody.jsf?fop=","PL.ZIPOP.1393.PP.1014042.1834"),"(kliknij lub Ctrl+kliknij)")</f>
        <v>(kliknij lub Ctrl+kliknij)</v>
      </c>
      <c r="H891" s="0" t="s">
        <v>851</v>
      </c>
    </row>
    <row r="892" customFormat="false" ht="12.8" hidden="false" customHeight="false" outlineLevel="0" collapsed="false">
      <c r="A892" s="1" t="s">
        <v>569</v>
      </c>
      <c r="C892" s="3" t="s">
        <v>584</v>
      </c>
      <c r="D892" s="4" t="s">
        <v>571</v>
      </c>
      <c r="F892" s="6" t="s">
        <v>585</v>
      </c>
      <c r="G892" s="7" t="str">
        <f aca="false">HYPERLINK(CONCATENATE("http://crfop.gdos.gov.pl/CRFOP/widok/viewpomnikprzyrody.jsf?fop=","PL.ZIPOP.1393.PP.1014042.1836"),"(kliknij lub Ctrl+kliknij)")</f>
        <v>(kliknij lub Ctrl+kliknij)</v>
      </c>
      <c r="H892" s="0" t="s">
        <v>851</v>
      </c>
    </row>
    <row r="893" customFormat="false" ht="12.8" hidden="false" customHeight="false" outlineLevel="0" collapsed="false">
      <c r="A893" s="1" t="s">
        <v>569</v>
      </c>
      <c r="C893" s="3" t="s">
        <v>584</v>
      </c>
      <c r="D893" s="4" t="s">
        <v>571</v>
      </c>
      <c r="F893" s="6" t="s">
        <v>585</v>
      </c>
      <c r="G893" s="7" t="str">
        <f aca="false">HYPERLINK(CONCATENATE("http://crfop.gdos.gov.pl/CRFOP/widok/viewpomnikprzyrody.jsf?fop=","PL.ZIPOP.1393.PP.1014042.1837"),"(kliknij lub Ctrl+kliknij)")</f>
        <v>(kliknij lub Ctrl+kliknij)</v>
      </c>
      <c r="H893" s="0" t="s">
        <v>851</v>
      </c>
    </row>
    <row r="894" customFormat="false" ht="12.8" hidden="false" customHeight="false" outlineLevel="0" collapsed="false">
      <c r="A894" s="1" t="s">
        <v>569</v>
      </c>
      <c r="C894" s="3" t="s">
        <v>584</v>
      </c>
      <c r="D894" s="4" t="s">
        <v>571</v>
      </c>
      <c r="F894" s="6" t="s">
        <v>585</v>
      </c>
      <c r="G894" s="7" t="str">
        <f aca="false">HYPERLINK(CONCATENATE("http://crfop.gdos.gov.pl/CRFOP/widok/viewpomnikprzyrody.jsf?fop=","PL.ZIPOP.1393.PP.1014042.1838"),"(kliknij lub Ctrl+kliknij)")</f>
        <v>(kliknij lub Ctrl+kliknij)</v>
      </c>
      <c r="H894" s="0" t="s">
        <v>851</v>
      </c>
    </row>
    <row r="895" customFormat="false" ht="12.8" hidden="false" customHeight="false" outlineLevel="0" collapsed="false">
      <c r="A895" s="1" t="s">
        <v>569</v>
      </c>
      <c r="C895" s="3" t="s">
        <v>584</v>
      </c>
      <c r="D895" s="4" t="s">
        <v>571</v>
      </c>
      <c r="F895" s="6" t="s">
        <v>585</v>
      </c>
      <c r="G895" s="7" t="str">
        <f aca="false">HYPERLINK(CONCATENATE("http://crfop.gdos.gov.pl/CRFOP/widok/viewpomnikprzyrody.jsf?fop=","PL.ZIPOP.1393.PP.1014042.1839"),"(kliknij lub Ctrl+kliknij)")</f>
        <v>(kliknij lub Ctrl+kliknij)</v>
      </c>
      <c r="H895" s="0" t="s">
        <v>851</v>
      </c>
    </row>
    <row r="896" customFormat="false" ht="12.8" hidden="false" customHeight="false" outlineLevel="0" collapsed="false">
      <c r="A896" s="1" t="s">
        <v>569</v>
      </c>
      <c r="C896" s="3" t="s">
        <v>584</v>
      </c>
      <c r="D896" s="4" t="s">
        <v>571</v>
      </c>
      <c r="F896" s="6" t="s">
        <v>585</v>
      </c>
      <c r="G896" s="7" t="str">
        <f aca="false">HYPERLINK(CONCATENATE("http://crfop.gdos.gov.pl/CRFOP/widok/viewpomnikprzyrody.jsf?fop=","PL.ZIPOP.1393.PP.1014042.1840"),"(kliknij lub Ctrl+kliknij)")</f>
        <v>(kliknij lub Ctrl+kliknij)</v>
      </c>
      <c r="H896" s="0" t="s">
        <v>851</v>
      </c>
    </row>
    <row r="897" customFormat="false" ht="12.8" hidden="false" customHeight="false" outlineLevel="0" collapsed="false">
      <c r="A897" s="1" t="s">
        <v>569</v>
      </c>
      <c r="C897" s="3" t="s">
        <v>584</v>
      </c>
      <c r="D897" s="4" t="s">
        <v>571</v>
      </c>
      <c r="F897" s="6" t="s">
        <v>585</v>
      </c>
      <c r="G897" s="7" t="str">
        <f aca="false">HYPERLINK(CONCATENATE("http://crfop.gdos.gov.pl/CRFOP/widok/viewpomnikprzyrody.jsf?fop=","PL.ZIPOP.1393.PP.1014042.1841"),"(kliknij lub Ctrl+kliknij)")</f>
        <v>(kliknij lub Ctrl+kliknij)</v>
      </c>
      <c r="H897" s="0" t="s">
        <v>851</v>
      </c>
    </row>
    <row r="898" customFormat="false" ht="12.8" hidden="false" customHeight="false" outlineLevel="0" collapsed="false">
      <c r="A898" s="1" t="s">
        <v>569</v>
      </c>
      <c r="C898" s="3" t="s">
        <v>584</v>
      </c>
      <c r="D898" s="4" t="s">
        <v>571</v>
      </c>
      <c r="F898" s="6" t="s">
        <v>585</v>
      </c>
      <c r="G898" s="7" t="str">
        <f aca="false">HYPERLINK(CONCATENATE("http://crfop.gdos.gov.pl/CRFOP/widok/viewpomnikprzyrody.jsf?fop=","PL.ZIPOP.1393.PP.1014042.1842"),"(kliknij lub Ctrl+kliknij)")</f>
        <v>(kliknij lub Ctrl+kliknij)</v>
      </c>
      <c r="H898" s="0" t="s">
        <v>851</v>
      </c>
    </row>
    <row r="899" customFormat="false" ht="12.8" hidden="false" customHeight="false" outlineLevel="0" collapsed="false">
      <c r="A899" s="1" t="s">
        <v>569</v>
      </c>
      <c r="C899" s="3" t="s">
        <v>584</v>
      </c>
      <c r="D899" s="4" t="s">
        <v>571</v>
      </c>
      <c r="F899" s="6" t="s">
        <v>585</v>
      </c>
      <c r="G899" s="7" t="str">
        <f aca="false">HYPERLINK(CONCATENATE("http://crfop.gdos.gov.pl/CRFOP/widok/viewpomnikprzyrody.jsf?fop=","PL.ZIPOP.1393.PP.1014042.1843"),"(kliknij lub Ctrl+kliknij)")</f>
        <v>(kliknij lub Ctrl+kliknij)</v>
      </c>
      <c r="H899" s="0" t="s">
        <v>851</v>
      </c>
    </row>
    <row r="900" customFormat="false" ht="12.8" hidden="false" customHeight="false" outlineLevel="0" collapsed="false">
      <c r="A900" s="1" t="s">
        <v>569</v>
      </c>
      <c r="C900" s="3" t="s">
        <v>584</v>
      </c>
      <c r="D900" s="4" t="s">
        <v>571</v>
      </c>
      <c r="F900" s="6" t="s">
        <v>585</v>
      </c>
      <c r="G900" s="7" t="str">
        <f aca="false">HYPERLINK(CONCATENATE("http://crfop.gdos.gov.pl/CRFOP/widok/viewpomnikprzyrody.jsf?fop=","PL.ZIPOP.1393.PP.1014042.1844"),"(kliknij lub Ctrl+kliknij)")</f>
        <v>(kliknij lub Ctrl+kliknij)</v>
      </c>
      <c r="H900" s="0" t="s">
        <v>851</v>
      </c>
    </row>
    <row r="901" customFormat="false" ht="12.8" hidden="false" customHeight="false" outlineLevel="0" collapsed="false">
      <c r="A901" s="1" t="s">
        <v>569</v>
      </c>
      <c r="C901" s="3" t="s">
        <v>584</v>
      </c>
      <c r="D901" s="4" t="s">
        <v>571</v>
      </c>
      <c r="F901" s="6" t="s">
        <v>585</v>
      </c>
      <c r="G901" s="7" t="str">
        <f aca="false">HYPERLINK(CONCATENATE("http://crfop.gdos.gov.pl/CRFOP/widok/viewpomnikprzyrody.jsf?fop=","PL.ZIPOP.1393.PP.1014042.1845"),"(kliknij lub Ctrl+kliknij)")</f>
        <v>(kliknij lub Ctrl+kliknij)</v>
      </c>
      <c r="H901" s="0" t="s">
        <v>851</v>
      </c>
    </row>
    <row r="902" customFormat="false" ht="12.8" hidden="false" customHeight="false" outlineLevel="0" collapsed="false">
      <c r="A902" s="1" t="s">
        <v>569</v>
      </c>
      <c r="C902" s="3" t="s">
        <v>584</v>
      </c>
      <c r="D902" s="4" t="s">
        <v>571</v>
      </c>
      <c r="F902" s="6" t="s">
        <v>585</v>
      </c>
      <c r="G902" s="7" t="str">
        <f aca="false">HYPERLINK(CONCATENATE("http://crfop.gdos.gov.pl/CRFOP/widok/viewpomnikprzyrody.jsf?fop=","PL.ZIPOP.1393.PP.1014042.1846"),"(kliknij lub Ctrl+kliknij)")</f>
        <v>(kliknij lub Ctrl+kliknij)</v>
      </c>
      <c r="H902" s="0" t="s">
        <v>851</v>
      </c>
    </row>
    <row r="903" customFormat="false" ht="12.8" hidden="false" customHeight="false" outlineLevel="0" collapsed="false">
      <c r="A903" s="1" t="s">
        <v>569</v>
      </c>
      <c r="C903" s="3" t="s">
        <v>584</v>
      </c>
      <c r="D903" s="4" t="s">
        <v>571</v>
      </c>
      <c r="F903" s="6" t="s">
        <v>585</v>
      </c>
      <c r="G903" s="7" t="str">
        <f aca="false">HYPERLINK(CONCATENATE("http://crfop.gdos.gov.pl/CRFOP/widok/viewpomnikprzyrody.jsf?fop=","PL.ZIPOP.1393.PP.1014042.1848"),"(kliknij lub Ctrl+kliknij)")</f>
        <v>(kliknij lub Ctrl+kliknij)</v>
      </c>
      <c r="H903" s="0" t="s">
        <v>851</v>
      </c>
    </row>
    <row r="904" customFormat="false" ht="12.8" hidden="false" customHeight="false" outlineLevel="0" collapsed="false">
      <c r="A904" s="1" t="s">
        <v>569</v>
      </c>
      <c r="C904" s="3" t="s">
        <v>584</v>
      </c>
      <c r="D904" s="4" t="s">
        <v>571</v>
      </c>
      <c r="F904" s="6" t="s">
        <v>585</v>
      </c>
      <c r="G904" s="7" t="str">
        <f aca="false">HYPERLINK(CONCATENATE("http://crfop.gdos.gov.pl/CRFOP/widok/viewpomnikprzyrody.jsf?fop=","PL.ZIPOP.1393.PP.1014042.1849"),"(kliknij lub Ctrl+kliknij)")</f>
        <v>(kliknij lub Ctrl+kliknij)</v>
      </c>
      <c r="H904" s="0" t="s">
        <v>851</v>
      </c>
    </row>
    <row r="905" customFormat="false" ht="12.8" hidden="false" customHeight="false" outlineLevel="0" collapsed="false">
      <c r="A905" s="1" t="s">
        <v>569</v>
      </c>
      <c r="C905" s="3" t="s">
        <v>584</v>
      </c>
      <c r="D905" s="4" t="s">
        <v>571</v>
      </c>
      <c r="F905" s="6" t="s">
        <v>585</v>
      </c>
      <c r="G905" s="7" t="str">
        <f aca="false">HYPERLINK(CONCATENATE("http://crfop.gdos.gov.pl/CRFOP/widok/viewpomnikprzyrody.jsf?fop=","PL.ZIPOP.1393.PP.1014042.1851"),"(kliknij lub Ctrl+kliknij)")</f>
        <v>(kliknij lub Ctrl+kliknij)</v>
      </c>
      <c r="H905" s="0" t="s">
        <v>851</v>
      </c>
    </row>
    <row r="906" customFormat="false" ht="12.8" hidden="false" customHeight="false" outlineLevel="0" collapsed="false">
      <c r="A906" s="1" t="s">
        <v>569</v>
      </c>
      <c r="C906" s="3" t="s">
        <v>584</v>
      </c>
      <c r="D906" s="4" t="s">
        <v>571</v>
      </c>
      <c r="F906" s="6" t="s">
        <v>585</v>
      </c>
      <c r="G906" s="7" t="str">
        <f aca="false">HYPERLINK(CONCATENATE("http://crfop.gdos.gov.pl/CRFOP/widok/viewpomnikprzyrody.jsf?fop=","PL.ZIPOP.1393.PP.1014042.1852"),"(kliknij lub Ctrl+kliknij)")</f>
        <v>(kliknij lub Ctrl+kliknij)</v>
      </c>
      <c r="H906" s="0" t="s">
        <v>851</v>
      </c>
    </row>
    <row r="907" customFormat="false" ht="12.8" hidden="false" customHeight="false" outlineLevel="0" collapsed="false">
      <c r="A907" s="1" t="s">
        <v>569</v>
      </c>
      <c r="C907" s="3" t="s">
        <v>584</v>
      </c>
      <c r="D907" s="4" t="s">
        <v>571</v>
      </c>
      <c r="F907" s="6" t="s">
        <v>585</v>
      </c>
      <c r="G907" s="7" t="str">
        <f aca="false">HYPERLINK(CONCATENATE("http://crfop.gdos.gov.pl/CRFOP/widok/viewpomnikprzyrody.jsf?fop=","PL.ZIPOP.1393.PP.1014042.1853"),"(kliknij lub Ctrl+kliknij)")</f>
        <v>(kliknij lub Ctrl+kliknij)</v>
      </c>
      <c r="H907" s="0" t="s">
        <v>851</v>
      </c>
    </row>
    <row r="908" customFormat="false" ht="12.8" hidden="false" customHeight="false" outlineLevel="0" collapsed="false">
      <c r="A908" s="1" t="s">
        <v>569</v>
      </c>
      <c r="C908" s="3" t="s">
        <v>584</v>
      </c>
      <c r="D908" s="4" t="s">
        <v>571</v>
      </c>
      <c r="F908" s="6" t="s">
        <v>585</v>
      </c>
      <c r="G908" s="7" t="str">
        <f aca="false">HYPERLINK(CONCATENATE("http://crfop.gdos.gov.pl/CRFOP/widok/viewpomnikprzyrody.jsf?fop=","PL.ZIPOP.1393.PP.1014042.1854"),"(kliknij lub Ctrl+kliknij)")</f>
        <v>(kliknij lub Ctrl+kliknij)</v>
      </c>
      <c r="H908" s="0" t="s">
        <v>851</v>
      </c>
    </row>
    <row r="909" customFormat="false" ht="12.8" hidden="false" customHeight="false" outlineLevel="0" collapsed="false">
      <c r="A909" s="1" t="s">
        <v>569</v>
      </c>
      <c r="C909" s="3" t="s">
        <v>584</v>
      </c>
      <c r="D909" s="4" t="s">
        <v>571</v>
      </c>
      <c r="F909" s="6" t="s">
        <v>585</v>
      </c>
      <c r="G909" s="7" t="str">
        <f aca="false">HYPERLINK(CONCATENATE("http://crfop.gdos.gov.pl/CRFOP/widok/viewpomnikprzyrody.jsf?fop=","PL.ZIPOP.1393.PP.1014042.1857"),"(kliknij lub Ctrl+kliknij)")</f>
        <v>(kliknij lub Ctrl+kliknij)</v>
      </c>
      <c r="H909" s="0" t="s">
        <v>851</v>
      </c>
    </row>
    <row r="910" customFormat="false" ht="12.8" hidden="false" customHeight="false" outlineLevel="0" collapsed="false">
      <c r="A910" s="1" t="s">
        <v>569</v>
      </c>
      <c r="C910" s="3" t="s">
        <v>584</v>
      </c>
      <c r="D910" s="4" t="s">
        <v>571</v>
      </c>
      <c r="F910" s="6" t="s">
        <v>585</v>
      </c>
      <c r="G910" s="7" t="str">
        <f aca="false">HYPERLINK(CONCATENATE("http://crfop.gdos.gov.pl/CRFOP/widok/viewpomnikprzyrody.jsf?fop=","PL.ZIPOP.1393.PP.1014042.1858"),"(kliknij lub Ctrl+kliknij)")</f>
        <v>(kliknij lub Ctrl+kliknij)</v>
      </c>
      <c r="H910" s="0" t="s">
        <v>851</v>
      </c>
    </row>
    <row r="911" customFormat="false" ht="12.8" hidden="false" customHeight="false" outlineLevel="0" collapsed="false">
      <c r="A911" s="1" t="s">
        <v>569</v>
      </c>
      <c r="C911" s="3" t="s">
        <v>584</v>
      </c>
      <c r="D911" s="4" t="s">
        <v>571</v>
      </c>
      <c r="F911" s="6" t="s">
        <v>585</v>
      </c>
      <c r="G911" s="7" t="str">
        <f aca="false">HYPERLINK(CONCATENATE("http://crfop.gdos.gov.pl/CRFOP/widok/viewpomnikprzyrody.jsf?fop=","PL.ZIPOP.1393.PP.1014042.1859"),"(kliknij lub Ctrl+kliknij)")</f>
        <v>(kliknij lub Ctrl+kliknij)</v>
      </c>
      <c r="H911" s="0" t="s">
        <v>851</v>
      </c>
    </row>
    <row r="912" customFormat="false" ht="12.8" hidden="false" customHeight="false" outlineLevel="0" collapsed="false">
      <c r="A912" s="1" t="s">
        <v>569</v>
      </c>
      <c r="C912" s="3" t="s">
        <v>584</v>
      </c>
      <c r="D912" s="4" t="s">
        <v>571</v>
      </c>
      <c r="F912" s="6" t="s">
        <v>585</v>
      </c>
      <c r="G912" s="7" t="str">
        <f aca="false">HYPERLINK(CONCATENATE("http://crfop.gdos.gov.pl/CRFOP/widok/viewpomnikprzyrody.jsf?fop=","PL.ZIPOP.1393.PP.1014042.1860"),"(kliknij lub Ctrl+kliknij)")</f>
        <v>(kliknij lub Ctrl+kliknij)</v>
      </c>
      <c r="H912" s="0" t="s">
        <v>851</v>
      </c>
    </row>
    <row r="913" customFormat="false" ht="12.8" hidden="false" customHeight="false" outlineLevel="0" collapsed="false">
      <c r="A913" s="1" t="s">
        <v>569</v>
      </c>
      <c r="C913" s="3" t="s">
        <v>584</v>
      </c>
      <c r="D913" s="4" t="s">
        <v>571</v>
      </c>
      <c r="F913" s="6" t="s">
        <v>585</v>
      </c>
      <c r="G913" s="7" t="str">
        <f aca="false">HYPERLINK(CONCATENATE("http://crfop.gdos.gov.pl/CRFOP/widok/viewpomnikprzyrody.jsf?fop=","PL.ZIPOP.1393.PP.1014042.1861"),"(kliknij lub Ctrl+kliknij)")</f>
        <v>(kliknij lub Ctrl+kliknij)</v>
      </c>
      <c r="H913" s="0" t="s">
        <v>851</v>
      </c>
    </row>
    <row r="914" customFormat="false" ht="12.8" hidden="false" customHeight="false" outlineLevel="0" collapsed="false">
      <c r="A914" s="1" t="s">
        <v>569</v>
      </c>
      <c r="C914" s="3" t="s">
        <v>584</v>
      </c>
      <c r="D914" s="4" t="s">
        <v>571</v>
      </c>
      <c r="F914" s="6" t="s">
        <v>585</v>
      </c>
      <c r="G914" s="7" t="str">
        <f aca="false">HYPERLINK(CONCATENATE("http://crfop.gdos.gov.pl/CRFOP/widok/viewpomnikprzyrody.jsf?fop=","PL.ZIPOP.1393.PP.1014042.1862"),"(kliknij lub Ctrl+kliknij)")</f>
        <v>(kliknij lub Ctrl+kliknij)</v>
      </c>
      <c r="H914" s="0" t="s">
        <v>851</v>
      </c>
    </row>
    <row r="915" customFormat="false" ht="12.8" hidden="false" customHeight="false" outlineLevel="0" collapsed="false">
      <c r="A915" s="1" t="s">
        <v>569</v>
      </c>
      <c r="C915" s="3" t="s">
        <v>584</v>
      </c>
      <c r="D915" s="4" t="s">
        <v>571</v>
      </c>
      <c r="F915" s="6" t="s">
        <v>585</v>
      </c>
      <c r="G915" s="7" t="str">
        <f aca="false">HYPERLINK(CONCATENATE("http://crfop.gdos.gov.pl/CRFOP/widok/viewpomnikprzyrody.jsf?fop=","PL.ZIPOP.1393.PP.1014042.1863"),"(kliknij lub Ctrl+kliknij)")</f>
        <v>(kliknij lub Ctrl+kliknij)</v>
      </c>
      <c r="H915" s="0" t="s">
        <v>851</v>
      </c>
    </row>
    <row r="916" customFormat="false" ht="12.8" hidden="false" customHeight="false" outlineLevel="0" collapsed="false">
      <c r="A916" s="1" t="s">
        <v>569</v>
      </c>
      <c r="C916" s="3" t="s">
        <v>584</v>
      </c>
      <c r="D916" s="4" t="s">
        <v>571</v>
      </c>
      <c r="F916" s="6" t="s">
        <v>585</v>
      </c>
      <c r="G916" s="7" t="str">
        <f aca="false">HYPERLINK(CONCATENATE("http://crfop.gdos.gov.pl/CRFOP/widok/viewpomnikprzyrody.jsf?fop=","PL.ZIPOP.1393.PP.1014042.1864"),"(kliknij lub Ctrl+kliknij)")</f>
        <v>(kliknij lub Ctrl+kliknij)</v>
      </c>
      <c r="H916" s="0" t="s">
        <v>851</v>
      </c>
    </row>
    <row r="917" customFormat="false" ht="12.8" hidden="false" customHeight="false" outlineLevel="0" collapsed="false">
      <c r="A917" s="1" t="s">
        <v>569</v>
      </c>
      <c r="C917" s="3" t="s">
        <v>584</v>
      </c>
      <c r="D917" s="4" t="s">
        <v>571</v>
      </c>
      <c r="F917" s="6" t="s">
        <v>585</v>
      </c>
      <c r="G917" s="7" t="str">
        <f aca="false">HYPERLINK(CONCATENATE("http://crfop.gdos.gov.pl/CRFOP/widok/viewpomnikprzyrody.jsf?fop=","PL.ZIPOP.1393.PP.1014042.1865"),"(kliknij lub Ctrl+kliknij)")</f>
        <v>(kliknij lub Ctrl+kliknij)</v>
      </c>
      <c r="H917" s="0" t="s">
        <v>851</v>
      </c>
    </row>
    <row r="918" customFormat="false" ht="12.8" hidden="false" customHeight="false" outlineLevel="0" collapsed="false">
      <c r="A918" s="1" t="s">
        <v>569</v>
      </c>
      <c r="C918" s="3" t="s">
        <v>584</v>
      </c>
      <c r="D918" s="4" t="s">
        <v>571</v>
      </c>
      <c r="F918" s="6" t="s">
        <v>585</v>
      </c>
      <c r="G918" s="7" t="str">
        <f aca="false">HYPERLINK(CONCATENATE("http://crfop.gdos.gov.pl/CRFOP/widok/viewpomnikprzyrody.jsf?fop=","PL.ZIPOP.1393.PP.1014042.1866"),"(kliknij lub Ctrl+kliknij)")</f>
        <v>(kliknij lub Ctrl+kliknij)</v>
      </c>
      <c r="H918" s="0" t="s">
        <v>851</v>
      </c>
    </row>
    <row r="919" customFormat="false" ht="12.8" hidden="false" customHeight="false" outlineLevel="0" collapsed="false">
      <c r="A919" s="1" t="s">
        <v>569</v>
      </c>
      <c r="C919" s="3" t="s">
        <v>584</v>
      </c>
      <c r="D919" s="4" t="s">
        <v>571</v>
      </c>
      <c r="F919" s="6" t="s">
        <v>585</v>
      </c>
      <c r="G919" s="7" t="str">
        <f aca="false">HYPERLINK(CONCATENATE("http://crfop.gdos.gov.pl/CRFOP/widok/viewpomnikprzyrody.jsf?fop=","PL.ZIPOP.1393.PP.1014042.1867"),"(kliknij lub Ctrl+kliknij)")</f>
        <v>(kliknij lub Ctrl+kliknij)</v>
      </c>
      <c r="H919" s="0" t="s">
        <v>851</v>
      </c>
    </row>
    <row r="920" customFormat="false" ht="12.8" hidden="false" customHeight="false" outlineLevel="0" collapsed="false">
      <c r="A920" s="1" t="s">
        <v>569</v>
      </c>
      <c r="C920" s="3" t="s">
        <v>584</v>
      </c>
      <c r="D920" s="4" t="s">
        <v>571</v>
      </c>
      <c r="F920" s="6" t="s">
        <v>585</v>
      </c>
      <c r="G920" s="7" t="str">
        <f aca="false">HYPERLINK(CONCATENATE("http://crfop.gdos.gov.pl/CRFOP/widok/viewpomnikprzyrody.jsf?fop=","PL.ZIPOP.1393.PP.1014042.1868"),"(kliknij lub Ctrl+kliknij)")</f>
        <v>(kliknij lub Ctrl+kliknij)</v>
      </c>
      <c r="H920" s="0" t="s">
        <v>851</v>
      </c>
    </row>
    <row r="921" customFormat="false" ht="12.8" hidden="false" customHeight="false" outlineLevel="0" collapsed="false">
      <c r="A921" s="1" t="s">
        <v>569</v>
      </c>
      <c r="C921" s="3" t="s">
        <v>584</v>
      </c>
      <c r="D921" s="4" t="s">
        <v>571</v>
      </c>
      <c r="F921" s="6" t="s">
        <v>585</v>
      </c>
      <c r="G921" s="7" t="str">
        <f aca="false">HYPERLINK(CONCATENATE("http://crfop.gdos.gov.pl/CRFOP/widok/viewpomnikprzyrody.jsf?fop=","PL.ZIPOP.1393.PP.1014042.1869"),"(kliknij lub Ctrl+kliknij)")</f>
        <v>(kliknij lub Ctrl+kliknij)</v>
      </c>
      <c r="H921" s="0" t="s">
        <v>851</v>
      </c>
    </row>
    <row r="922" customFormat="false" ht="12.8" hidden="false" customHeight="false" outlineLevel="0" collapsed="false">
      <c r="A922" s="1" t="s">
        <v>569</v>
      </c>
      <c r="C922" s="3" t="s">
        <v>584</v>
      </c>
      <c r="D922" s="4" t="s">
        <v>571</v>
      </c>
      <c r="F922" s="6" t="s">
        <v>585</v>
      </c>
      <c r="G922" s="7" t="str">
        <f aca="false">HYPERLINK(CONCATENATE("http://crfop.gdos.gov.pl/CRFOP/widok/viewpomnikprzyrody.jsf?fop=","PL.ZIPOP.1393.PP.1014042.1870"),"(kliknij lub Ctrl+kliknij)")</f>
        <v>(kliknij lub Ctrl+kliknij)</v>
      </c>
      <c r="H922" s="0" t="s">
        <v>851</v>
      </c>
    </row>
    <row r="923" customFormat="false" ht="12.8" hidden="false" customHeight="false" outlineLevel="0" collapsed="false">
      <c r="A923" s="1" t="s">
        <v>569</v>
      </c>
      <c r="C923" s="3" t="s">
        <v>584</v>
      </c>
      <c r="D923" s="4" t="s">
        <v>571</v>
      </c>
      <c r="F923" s="6" t="s">
        <v>585</v>
      </c>
      <c r="G923" s="7" t="str">
        <f aca="false">HYPERLINK(CONCATENATE("http://crfop.gdos.gov.pl/CRFOP/widok/viewpomnikprzyrody.jsf?fop=","PL.ZIPOP.1393.PP.1014042.1871"),"(kliknij lub Ctrl+kliknij)")</f>
        <v>(kliknij lub Ctrl+kliknij)</v>
      </c>
      <c r="H923" s="0" t="s">
        <v>851</v>
      </c>
    </row>
    <row r="924" customFormat="false" ht="12.8" hidden="false" customHeight="false" outlineLevel="0" collapsed="false">
      <c r="A924" s="1" t="s">
        <v>569</v>
      </c>
      <c r="C924" s="3" t="s">
        <v>584</v>
      </c>
      <c r="D924" s="4" t="s">
        <v>571</v>
      </c>
      <c r="F924" s="6" t="s">
        <v>585</v>
      </c>
      <c r="G924" s="7" t="str">
        <f aca="false">HYPERLINK(CONCATENATE("http://crfop.gdos.gov.pl/CRFOP/widok/viewpomnikprzyrody.jsf?fop=","PL.ZIPOP.1393.PP.1014042.1872"),"(kliknij lub Ctrl+kliknij)")</f>
        <v>(kliknij lub Ctrl+kliknij)</v>
      </c>
      <c r="H924" s="0" t="s">
        <v>851</v>
      </c>
    </row>
    <row r="925" customFormat="false" ht="12.8" hidden="false" customHeight="false" outlineLevel="0" collapsed="false">
      <c r="A925" s="1" t="s">
        <v>569</v>
      </c>
      <c r="C925" s="3" t="s">
        <v>584</v>
      </c>
      <c r="D925" s="4" t="s">
        <v>571</v>
      </c>
      <c r="F925" s="6" t="s">
        <v>585</v>
      </c>
      <c r="G925" s="7" t="str">
        <f aca="false">HYPERLINK(CONCATENATE("http://crfop.gdos.gov.pl/CRFOP/widok/viewpomnikprzyrody.jsf?fop=","PL.ZIPOP.1393.PP.1014042.1874"),"(kliknij lub Ctrl+kliknij)")</f>
        <v>(kliknij lub Ctrl+kliknij)</v>
      </c>
      <c r="H925" s="0" t="s">
        <v>851</v>
      </c>
    </row>
    <row r="926" customFormat="false" ht="12.8" hidden="false" customHeight="false" outlineLevel="0" collapsed="false">
      <c r="A926" s="1" t="s">
        <v>569</v>
      </c>
      <c r="C926" s="3" t="s">
        <v>584</v>
      </c>
      <c r="D926" s="4" t="s">
        <v>571</v>
      </c>
      <c r="F926" s="6" t="s">
        <v>585</v>
      </c>
      <c r="G926" s="7" t="str">
        <f aca="false">HYPERLINK(CONCATENATE("http://crfop.gdos.gov.pl/CRFOP/widok/viewpomnikprzyrody.jsf?fop=","PL.ZIPOP.1393.PP.1014042.1875"),"(kliknij lub Ctrl+kliknij)")</f>
        <v>(kliknij lub Ctrl+kliknij)</v>
      </c>
      <c r="H926" s="0" t="s">
        <v>851</v>
      </c>
    </row>
    <row r="927" customFormat="false" ht="12.8" hidden="false" customHeight="false" outlineLevel="0" collapsed="false">
      <c r="A927" s="1" t="s">
        <v>569</v>
      </c>
      <c r="C927" s="3" t="s">
        <v>584</v>
      </c>
      <c r="D927" s="4" t="s">
        <v>571</v>
      </c>
      <c r="F927" s="6" t="s">
        <v>585</v>
      </c>
      <c r="G927" s="7" t="str">
        <f aca="false">HYPERLINK(CONCATENATE("http://crfop.gdos.gov.pl/CRFOP/widok/viewpomnikprzyrody.jsf?fop=","PL.ZIPOP.1393.PP.1014042.1877"),"(kliknij lub Ctrl+kliknij)")</f>
        <v>(kliknij lub Ctrl+kliknij)</v>
      </c>
      <c r="H927" s="0" t="s">
        <v>851</v>
      </c>
    </row>
    <row r="928" customFormat="false" ht="12.8" hidden="false" customHeight="false" outlineLevel="0" collapsed="false">
      <c r="A928" s="1" t="s">
        <v>569</v>
      </c>
      <c r="C928" s="3" t="s">
        <v>584</v>
      </c>
      <c r="D928" s="4" t="s">
        <v>571</v>
      </c>
      <c r="F928" s="6" t="s">
        <v>585</v>
      </c>
      <c r="G928" s="7" t="str">
        <f aca="false">HYPERLINK(CONCATENATE("http://crfop.gdos.gov.pl/CRFOP/widok/viewpomnikprzyrody.jsf?fop=","PL.ZIPOP.1393.PP.1014042.1878"),"(kliknij lub Ctrl+kliknij)")</f>
        <v>(kliknij lub Ctrl+kliknij)</v>
      </c>
      <c r="H928" s="0" t="s">
        <v>851</v>
      </c>
    </row>
    <row r="929" customFormat="false" ht="12.8" hidden="false" customHeight="false" outlineLevel="0" collapsed="false">
      <c r="A929" s="1" t="s">
        <v>569</v>
      </c>
      <c r="B929" s="2" t="s">
        <v>852</v>
      </c>
      <c r="C929" s="3" t="s">
        <v>582</v>
      </c>
      <c r="D929" s="4" t="s">
        <v>571</v>
      </c>
      <c r="F929" s="6" t="s">
        <v>774</v>
      </c>
      <c r="G929" s="7" t="str">
        <f aca="false">HYPERLINK(CONCATENATE("http://crfop.gdos.gov.pl/CRFOP/widok/viewpomnikprzyrody.jsf?fop=","PL.ZIPOP.1393.PP.1014042.1879"),"(kliknij lub Ctrl+kliknij)")</f>
        <v>(kliknij lub Ctrl+kliknij)</v>
      </c>
      <c r="H929" s="0" t="s">
        <v>851</v>
      </c>
    </row>
    <row r="930" customFormat="false" ht="12.8" hidden="false" customHeight="false" outlineLevel="0" collapsed="false">
      <c r="A930" s="1" t="s">
        <v>569</v>
      </c>
      <c r="B930" s="2" t="s">
        <v>853</v>
      </c>
      <c r="C930" s="3" t="s">
        <v>582</v>
      </c>
      <c r="D930" s="4" t="s">
        <v>571</v>
      </c>
      <c r="F930" s="6" t="s">
        <v>774</v>
      </c>
      <c r="G930" s="7" t="str">
        <f aca="false">HYPERLINK(CONCATENATE("http://crfop.gdos.gov.pl/CRFOP/widok/viewpomnikprzyrody.jsf?fop=","PL.ZIPOP.1393.PP.1014042.1880"),"(kliknij lub Ctrl+kliknij)")</f>
        <v>(kliknij lub Ctrl+kliknij)</v>
      </c>
      <c r="H930" s="0" t="s">
        <v>851</v>
      </c>
    </row>
    <row r="931" customFormat="false" ht="12.8" hidden="false" customHeight="false" outlineLevel="0" collapsed="false">
      <c r="A931" s="1" t="s">
        <v>569</v>
      </c>
      <c r="C931" s="3" t="s">
        <v>584</v>
      </c>
      <c r="D931" s="4" t="s">
        <v>571</v>
      </c>
      <c r="F931" s="6" t="s">
        <v>585</v>
      </c>
      <c r="G931" s="7" t="str">
        <f aca="false">HYPERLINK(CONCATENATE("http://crfop.gdos.gov.pl/CRFOP/widok/viewpomnikprzyrody.jsf?fop=","PL.ZIPOP.1393.PP.1014052.1762"),"(kliknij lub Ctrl+kliknij)")</f>
        <v>(kliknij lub Ctrl+kliknij)</v>
      </c>
      <c r="H931" s="0" t="s">
        <v>854</v>
      </c>
    </row>
    <row r="932" customFormat="false" ht="12.8" hidden="false" customHeight="false" outlineLevel="0" collapsed="false">
      <c r="A932" s="1" t="s">
        <v>569</v>
      </c>
      <c r="C932" s="3" t="s">
        <v>584</v>
      </c>
      <c r="D932" s="4" t="s">
        <v>571</v>
      </c>
      <c r="F932" s="6" t="s">
        <v>585</v>
      </c>
      <c r="G932" s="7" t="str">
        <f aca="false">HYPERLINK(CONCATENATE("http://crfop.gdos.gov.pl/CRFOP/widok/viewpomnikprzyrody.jsf?fop=","PL.ZIPOP.1393.PP.1014052.1764"),"(kliknij lub Ctrl+kliknij)")</f>
        <v>(kliknij lub Ctrl+kliknij)</v>
      </c>
      <c r="H932" s="0" t="s">
        <v>854</v>
      </c>
    </row>
    <row r="933" customFormat="false" ht="12.8" hidden="false" customHeight="false" outlineLevel="0" collapsed="false">
      <c r="A933" s="1" t="s">
        <v>569</v>
      </c>
      <c r="C933" s="3" t="s">
        <v>584</v>
      </c>
      <c r="D933" s="4" t="s">
        <v>571</v>
      </c>
      <c r="F933" s="6" t="s">
        <v>585</v>
      </c>
      <c r="G933" s="7" t="str">
        <f aca="false">HYPERLINK(CONCATENATE("http://crfop.gdos.gov.pl/CRFOP/widok/viewpomnikprzyrody.jsf?fop=","PL.ZIPOP.1393.PP.1014052.1765"),"(kliknij lub Ctrl+kliknij)")</f>
        <v>(kliknij lub Ctrl+kliknij)</v>
      </c>
      <c r="H933" s="0" t="s">
        <v>854</v>
      </c>
    </row>
    <row r="934" customFormat="false" ht="12.8" hidden="false" customHeight="false" outlineLevel="0" collapsed="false">
      <c r="A934" s="1" t="s">
        <v>569</v>
      </c>
      <c r="C934" s="3" t="s">
        <v>584</v>
      </c>
      <c r="D934" s="4" t="s">
        <v>571</v>
      </c>
      <c r="F934" s="6" t="s">
        <v>585</v>
      </c>
      <c r="G934" s="7" t="str">
        <f aca="false">HYPERLINK(CONCATENATE("http://crfop.gdos.gov.pl/CRFOP/widok/viewpomnikprzyrody.jsf?fop=","PL.ZIPOP.1393.PP.1014052.1766"),"(kliknij lub Ctrl+kliknij)")</f>
        <v>(kliknij lub Ctrl+kliknij)</v>
      </c>
      <c r="H934" s="0" t="s">
        <v>854</v>
      </c>
    </row>
    <row r="935" customFormat="false" ht="12.8" hidden="false" customHeight="false" outlineLevel="0" collapsed="false">
      <c r="A935" s="1" t="s">
        <v>569</v>
      </c>
      <c r="C935" s="3" t="s">
        <v>584</v>
      </c>
      <c r="D935" s="4" t="s">
        <v>571</v>
      </c>
      <c r="F935" s="6" t="s">
        <v>585</v>
      </c>
      <c r="G935" s="7" t="str">
        <f aca="false">HYPERLINK(CONCATENATE("http://crfop.gdos.gov.pl/CRFOP/widok/viewpomnikprzyrody.jsf?fop=","PL.ZIPOP.1393.PP.1014052.1767"),"(kliknij lub Ctrl+kliknij)")</f>
        <v>(kliknij lub Ctrl+kliknij)</v>
      </c>
      <c r="H935" s="0" t="s">
        <v>854</v>
      </c>
    </row>
    <row r="936" customFormat="false" ht="12.8" hidden="false" customHeight="false" outlineLevel="0" collapsed="false">
      <c r="A936" s="1" t="s">
        <v>569</v>
      </c>
      <c r="C936" s="3" t="s">
        <v>584</v>
      </c>
      <c r="D936" s="4" t="s">
        <v>571</v>
      </c>
      <c r="F936" s="6" t="s">
        <v>585</v>
      </c>
      <c r="G936" s="7" t="str">
        <f aca="false">HYPERLINK(CONCATENATE("http://crfop.gdos.gov.pl/CRFOP/widok/viewpomnikprzyrody.jsf?fop=","PL.ZIPOP.1393.PP.1014052.1768"),"(kliknij lub Ctrl+kliknij)")</f>
        <v>(kliknij lub Ctrl+kliknij)</v>
      </c>
      <c r="H936" s="0" t="s">
        <v>854</v>
      </c>
    </row>
    <row r="937" customFormat="false" ht="12.8" hidden="false" customHeight="false" outlineLevel="0" collapsed="false">
      <c r="A937" s="1" t="s">
        <v>569</v>
      </c>
      <c r="C937" s="3" t="s">
        <v>584</v>
      </c>
      <c r="D937" s="4" t="s">
        <v>571</v>
      </c>
      <c r="F937" s="6" t="s">
        <v>585</v>
      </c>
      <c r="G937" s="7" t="str">
        <f aca="false">HYPERLINK(CONCATENATE("http://crfop.gdos.gov.pl/CRFOP/widok/viewpomnikprzyrody.jsf?fop=","PL.ZIPOP.1393.PP.1014052.1769"),"(kliknij lub Ctrl+kliknij)")</f>
        <v>(kliknij lub Ctrl+kliknij)</v>
      </c>
      <c r="H937" s="0" t="s">
        <v>854</v>
      </c>
    </row>
    <row r="938" customFormat="false" ht="12.8" hidden="false" customHeight="false" outlineLevel="0" collapsed="false">
      <c r="A938" s="1" t="s">
        <v>569</v>
      </c>
      <c r="C938" s="3" t="s">
        <v>584</v>
      </c>
      <c r="D938" s="4" t="s">
        <v>571</v>
      </c>
      <c r="F938" s="6" t="s">
        <v>585</v>
      </c>
      <c r="G938" s="7" t="str">
        <f aca="false">HYPERLINK(CONCATENATE("http://crfop.gdos.gov.pl/CRFOP/widok/viewpomnikprzyrody.jsf?fop=","PL.ZIPOP.1393.PP.1014052.1770"),"(kliknij lub Ctrl+kliknij)")</f>
        <v>(kliknij lub Ctrl+kliknij)</v>
      </c>
      <c r="H938" s="0" t="s">
        <v>854</v>
      </c>
    </row>
    <row r="939" customFormat="false" ht="12.8" hidden="false" customHeight="false" outlineLevel="0" collapsed="false">
      <c r="A939" s="1" t="s">
        <v>569</v>
      </c>
      <c r="C939" s="3" t="s">
        <v>584</v>
      </c>
      <c r="D939" s="4" t="s">
        <v>571</v>
      </c>
      <c r="F939" s="6" t="s">
        <v>585</v>
      </c>
      <c r="G939" s="7" t="str">
        <f aca="false">HYPERLINK(CONCATENATE("http://crfop.gdos.gov.pl/CRFOP/widok/viewpomnikprzyrody.jsf?fop=","PL.ZIPOP.1393.PP.1014052.1771"),"(kliknij lub Ctrl+kliknij)")</f>
        <v>(kliknij lub Ctrl+kliknij)</v>
      </c>
      <c r="H939" s="0" t="s">
        <v>854</v>
      </c>
    </row>
    <row r="940" customFormat="false" ht="12.8" hidden="false" customHeight="false" outlineLevel="0" collapsed="false">
      <c r="A940" s="1" t="s">
        <v>569</v>
      </c>
      <c r="C940" s="3" t="s">
        <v>855</v>
      </c>
      <c r="D940" s="4" t="s">
        <v>571</v>
      </c>
      <c r="F940" s="6" t="s">
        <v>856</v>
      </c>
      <c r="G940" s="7" t="str">
        <f aca="false">HYPERLINK(CONCATENATE("http://crfop.gdos.gov.pl/CRFOP/widok/viewpomnikprzyrody.jsf?fop=","PL.ZIPOP.1393.PP.1014052.1772"),"(kliknij lub Ctrl+kliknij)")</f>
        <v>(kliknij lub Ctrl+kliknij)</v>
      </c>
      <c r="H940" s="0" t="s">
        <v>854</v>
      </c>
    </row>
    <row r="941" customFormat="false" ht="12.8" hidden="false" customHeight="false" outlineLevel="0" collapsed="false">
      <c r="A941" s="1" t="s">
        <v>569</v>
      </c>
      <c r="C941" s="3" t="s">
        <v>855</v>
      </c>
      <c r="D941" s="4" t="s">
        <v>571</v>
      </c>
      <c r="F941" s="6" t="s">
        <v>856</v>
      </c>
      <c r="G941" s="7" t="str">
        <f aca="false">HYPERLINK(CONCATENATE("http://crfop.gdos.gov.pl/CRFOP/widok/viewpomnikprzyrody.jsf?fop=","PL.ZIPOP.1393.PP.1014052.1773"),"(kliknij lub Ctrl+kliknij)")</f>
        <v>(kliknij lub Ctrl+kliknij)</v>
      </c>
      <c r="H941" s="0" t="s">
        <v>854</v>
      </c>
    </row>
    <row r="942" customFormat="false" ht="12.8" hidden="false" customHeight="false" outlineLevel="0" collapsed="false">
      <c r="A942" s="1" t="s">
        <v>569</v>
      </c>
      <c r="B942" s="2" t="s">
        <v>857</v>
      </c>
      <c r="C942" s="3" t="s">
        <v>858</v>
      </c>
      <c r="D942" s="4" t="s">
        <v>571</v>
      </c>
      <c r="F942" s="6" t="s">
        <v>859</v>
      </c>
      <c r="G942" s="7" t="str">
        <f aca="false">HYPERLINK(CONCATENATE("http://crfop.gdos.gov.pl/CRFOP/widok/viewpomnikprzyrody.jsf?fop=","PL.ZIPOP.1393.PP.1014052.1774"),"(kliknij lub Ctrl+kliknij)")</f>
        <v>(kliknij lub Ctrl+kliknij)</v>
      </c>
      <c r="H942" s="0" t="s">
        <v>854</v>
      </c>
    </row>
    <row r="943" customFormat="false" ht="12.8" hidden="false" customHeight="false" outlineLevel="0" collapsed="false">
      <c r="A943" s="1" t="s">
        <v>569</v>
      </c>
      <c r="C943" s="3" t="s">
        <v>584</v>
      </c>
      <c r="D943" s="4" t="s">
        <v>571</v>
      </c>
      <c r="F943" s="6" t="s">
        <v>585</v>
      </c>
      <c r="G943" s="7" t="str">
        <f aca="false">HYPERLINK(CONCATENATE("http://crfop.gdos.gov.pl/CRFOP/widok/viewpomnikprzyrody.jsf?fop=","PL.ZIPOP.1393.PP.1014062.1819"),"(kliknij lub Ctrl+kliknij)")</f>
        <v>(kliknij lub Ctrl+kliknij)</v>
      </c>
      <c r="H943" s="0" t="s">
        <v>860</v>
      </c>
    </row>
    <row r="944" customFormat="false" ht="12.8" hidden="false" customHeight="false" outlineLevel="0" collapsed="false">
      <c r="A944" s="1" t="s">
        <v>569</v>
      </c>
      <c r="C944" s="3" t="s">
        <v>584</v>
      </c>
      <c r="D944" s="4" t="s">
        <v>571</v>
      </c>
      <c r="F944" s="6" t="s">
        <v>585</v>
      </c>
      <c r="G944" s="7" t="str">
        <f aca="false">HYPERLINK(CONCATENATE("http://crfop.gdos.gov.pl/CRFOP/widok/viewpomnikprzyrody.jsf?fop=","PL.ZIPOP.1393.PP.1014062.1820"),"(kliknij lub Ctrl+kliknij)")</f>
        <v>(kliknij lub Ctrl+kliknij)</v>
      </c>
      <c r="H944" s="0" t="s">
        <v>860</v>
      </c>
    </row>
    <row r="945" customFormat="false" ht="12.8" hidden="false" customHeight="false" outlineLevel="0" collapsed="false">
      <c r="A945" s="1" t="s">
        <v>569</v>
      </c>
      <c r="C945" s="3" t="s">
        <v>584</v>
      </c>
      <c r="D945" s="4" t="s">
        <v>571</v>
      </c>
      <c r="F945" s="6" t="s">
        <v>585</v>
      </c>
      <c r="G945" s="7" t="str">
        <f aca="false">HYPERLINK(CONCATENATE("http://crfop.gdos.gov.pl/CRFOP/widok/viewpomnikprzyrody.jsf?fop=","PL.ZIPOP.1393.PP.1014062.1821"),"(kliknij lub Ctrl+kliknij)")</f>
        <v>(kliknij lub Ctrl+kliknij)</v>
      </c>
      <c r="H945" s="0" t="s">
        <v>860</v>
      </c>
    </row>
    <row r="946" customFormat="false" ht="12.8" hidden="false" customHeight="false" outlineLevel="0" collapsed="false">
      <c r="A946" s="1" t="s">
        <v>569</v>
      </c>
      <c r="C946" s="3" t="s">
        <v>584</v>
      </c>
      <c r="D946" s="4" t="s">
        <v>571</v>
      </c>
      <c r="F946" s="6" t="s">
        <v>585</v>
      </c>
      <c r="G946" s="7" t="str">
        <f aca="false">HYPERLINK(CONCATENATE("http://crfop.gdos.gov.pl/CRFOP/widok/viewpomnikprzyrody.jsf?fop=","PL.ZIPOP.1393.PP.1014062.1822"),"(kliknij lub Ctrl+kliknij)")</f>
        <v>(kliknij lub Ctrl+kliknij)</v>
      </c>
      <c r="H946" s="0" t="s">
        <v>860</v>
      </c>
    </row>
    <row r="947" customFormat="false" ht="12.8" hidden="false" customHeight="false" outlineLevel="0" collapsed="false">
      <c r="A947" s="1" t="s">
        <v>569</v>
      </c>
      <c r="C947" s="3" t="s">
        <v>584</v>
      </c>
      <c r="D947" s="4" t="s">
        <v>571</v>
      </c>
      <c r="F947" s="6" t="s">
        <v>585</v>
      </c>
      <c r="G947" s="7" t="str">
        <f aca="false">HYPERLINK(CONCATENATE("http://crfop.gdos.gov.pl/CRFOP/widok/viewpomnikprzyrody.jsf?fop=","PL.ZIPOP.1393.PP.1014062.1823"),"(kliknij lub Ctrl+kliknij)")</f>
        <v>(kliknij lub Ctrl+kliknij)</v>
      </c>
      <c r="H947" s="0" t="s">
        <v>860</v>
      </c>
    </row>
    <row r="948" customFormat="false" ht="12.8" hidden="false" customHeight="false" outlineLevel="0" collapsed="false">
      <c r="A948" s="1" t="s">
        <v>569</v>
      </c>
      <c r="C948" s="3" t="s">
        <v>584</v>
      </c>
      <c r="D948" s="4" t="s">
        <v>571</v>
      </c>
      <c r="F948" s="6" t="s">
        <v>585</v>
      </c>
      <c r="G948" s="7" t="str">
        <f aca="false">HYPERLINK(CONCATENATE("http://crfop.gdos.gov.pl/CRFOP/widok/viewpomnikprzyrody.jsf?fop=","PL.ZIPOP.1393.PP.1014072.1711"),"(kliknij lub Ctrl+kliknij)")</f>
        <v>(kliknij lub Ctrl+kliknij)</v>
      </c>
      <c r="H948" s="0" t="s">
        <v>861</v>
      </c>
    </row>
    <row r="949" customFormat="false" ht="12.8" hidden="false" customHeight="false" outlineLevel="0" collapsed="false">
      <c r="A949" s="1" t="s">
        <v>569</v>
      </c>
      <c r="C949" s="3" t="s">
        <v>584</v>
      </c>
      <c r="D949" s="4" t="s">
        <v>571</v>
      </c>
      <c r="F949" s="6" t="s">
        <v>585</v>
      </c>
      <c r="G949" s="7" t="str">
        <f aca="false">HYPERLINK(CONCATENATE("http://crfop.gdos.gov.pl/CRFOP/widok/viewpomnikprzyrody.jsf?fop=","PL.ZIPOP.1393.PP.1014072.1713"),"(kliknij lub Ctrl+kliknij)")</f>
        <v>(kliknij lub Ctrl+kliknij)</v>
      </c>
      <c r="H949" s="0" t="s">
        <v>861</v>
      </c>
    </row>
    <row r="950" customFormat="false" ht="12.8" hidden="false" customHeight="false" outlineLevel="0" collapsed="false">
      <c r="A950" s="1" t="s">
        <v>569</v>
      </c>
      <c r="C950" s="3" t="s">
        <v>584</v>
      </c>
      <c r="D950" s="4" t="s">
        <v>571</v>
      </c>
      <c r="F950" s="6" t="s">
        <v>585</v>
      </c>
      <c r="G950" s="7" t="str">
        <f aca="false">HYPERLINK(CONCATENATE("http://crfop.gdos.gov.pl/CRFOP/widok/viewpomnikprzyrody.jsf?fop=","PL.ZIPOP.1393.PP.1014072.1714"),"(kliknij lub Ctrl+kliknij)")</f>
        <v>(kliknij lub Ctrl+kliknij)</v>
      </c>
      <c r="H950" s="0" t="s">
        <v>861</v>
      </c>
    </row>
    <row r="951" customFormat="false" ht="12.8" hidden="false" customHeight="false" outlineLevel="0" collapsed="false">
      <c r="A951" s="1" t="s">
        <v>569</v>
      </c>
      <c r="C951" s="3" t="s">
        <v>584</v>
      </c>
      <c r="D951" s="4" t="s">
        <v>571</v>
      </c>
      <c r="F951" s="6" t="s">
        <v>585</v>
      </c>
      <c r="G951" s="7" t="str">
        <f aca="false">HYPERLINK(CONCATENATE("http://crfop.gdos.gov.pl/CRFOP/widok/viewpomnikprzyrody.jsf?fop=","PL.ZIPOP.1393.PP.1014072.1715"),"(kliknij lub Ctrl+kliknij)")</f>
        <v>(kliknij lub Ctrl+kliknij)</v>
      </c>
      <c r="H951" s="0" t="s">
        <v>861</v>
      </c>
    </row>
    <row r="952" customFormat="false" ht="12.8" hidden="false" customHeight="false" outlineLevel="0" collapsed="false">
      <c r="A952" s="1" t="s">
        <v>569</v>
      </c>
      <c r="C952" s="3" t="s">
        <v>584</v>
      </c>
      <c r="D952" s="4" t="s">
        <v>571</v>
      </c>
      <c r="F952" s="6" t="s">
        <v>585</v>
      </c>
      <c r="G952" s="7" t="str">
        <f aca="false">HYPERLINK(CONCATENATE("http://crfop.gdos.gov.pl/CRFOP/widok/viewpomnikprzyrody.jsf?fop=","PL.ZIPOP.1393.PP.1014082.1643"),"(kliknij lub Ctrl+kliknij)")</f>
        <v>(kliknij lub Ctrl+kliknij)</v>
      </c>
      <c r="H952" s="0" t="s">
        <v>847</v>
      </c>
    </row>
    <row r="953" customFormat="false" ht="12.8" hidden="false" customHeight="false" outlineLevel="0" collapsed="false">
      <c r="A953" s="1" t="s">
        <v>569</v>
      </c>
      <c r="C953" s="3" t="s">
        <v>584</v>
      </c>
      <c r="D953" s="4" t="s">
        <v>571</v>
      </c>
      <c r="F953" s="6" t="s">
        <v>585</v>
      </c>
      <c r="G953" s="7" t="str">
        <f aca="false">HYPERLINK(CONCATENATE("http://crfop.gdos.gov.pl/CRFOP/widok/viewpomnikprzyrody.jsf?fop=","PL.ZIPOP.1393.PP.1014082.1644"),"(kliknij lub Ctrl+kliknij)")</f>
        <v>(kliknij lub Ctrl+kliknij)</v>
      </c>
      <c r="H953" s="0" t="s">
        <v>847</v>
      </c>
    </row>
    <row r="954" customFormat="false" ht="12.8" hidden="false" customHeight="false" outlineLevel="0" collapsed="false">
      <c r="A954" s="1" t="s">
        <v>569</v>
      </c>
      <c r="C954" s="3" t="s">
        <v>584</v>
      </c>
      <c r="D954" s="4" t="s">
        <v>571</v>
      </c>
      <c r="F954" s="6" t="s">
        <v>585</v>
      </c>
      <c r="G954" s="7" t="str">
        <f aca="false">HYPERLINK(CONCATENATE("http://crfop.gdos.gov.pl/CRFOP/widok/viewpomnikprzyrody.jsf?fop=","PL.ZIPOP.1393.PP.1014082.1645"),"(kliknij lub Ctrl+kliknij)")</f>
        <v>(kliknij lub Ctrl+kliknij)</v>
      </c>
      <c r="H954" s="0" t="s">
        <v>847</v>
      </c>
    </row>
    <row r="955" customFormat="false" ht="12.8" hidden="false" customHeight="false" outlineLevel="0" collapsed="false">
      <c r="A955" s="1" t="s">
        <v>569</v>
      </c>
      <c r="C955" s="3" t="s">
        <v>584</v>
      </c>
      <c r="D955" s="4" t="s">
        <v>571</v>
      </c>
      <c r="F955" s="6" t="s">
        <v>585</v>
      </c>
      <c r="G955" s="7" t="str">
        <f aca="false">HYPERLINK(CONCATENATE("http://crfop.gdos.gov.pl/CRFOP/widok/viewpomnikprzyrody.jsf?fop=","PL.ZIPOP.1393.PP.1014082.1646"),"(kliknij lub Ctrl+kliknij)")</f>
        <v>(kliknij lub Ctrl+kliknij)</v>
      </c>
      <c r="H955" s="0" t="s">
        <v>847</v>
      </c>
    </row>
    <row r="956" customFormat="false" ht="12.8" hidden="false" customHeight="false" outlineLevel="0" collapsed="false">
      <c r="A956" s="1" t="s">
        <v>569</v>
      </c>
      <c r="C956" s="3" t="s">
        <v>584</v>
      </c>
      <c r="D956" s="4" t="s">
        <v>571</v>
      </c>
      <c r="F956" s="6" t="s">
        <v>585</v>
      </c>
      <c r="G956" s="7" t="str">
        <f aca="false">HYPERLINK(CONCATENATE("http://crfop.gdos.gov.pl/CRFOP/widok/viewpomnikprzyrody.jsf?fop=","PL.ZIPOP.1393.PP.1014082.1647"),"(kliknij lub Ctrl+kliknij)")</f>
        <v>(kliknij lub Ctrl+kliknij)</v>
      </c>
      <c r="H956" s="0" t="s">
        <v>847</v>
      </c>
    </row>
    <row r="957" customFormat="false" ht="12.8" hidden="false" customHeight="false" outlineLevel="0" collapsed="false">
      <c r="A957" s="1" t="s">
        <v>569</v>
      </c>
      <c r="C957" s="3" t="s">
        <v>584</v>
      </c>
      <c r="D957" s="4" t="s">
        <v>571</v>
      </c>
      <c r="F957" s="6" t="s">
        <v>585</v>
      </c>
      <c r="G957" s="7" t="str">
        <f aca="false">HYPERLINK(CONCATENATE("http://crfop.gdos.gov.pl/CRFOP/widok/viewpomnikprzyrody.jsf?fop=","PL.ZIPOP.1393.PP.1014082.1648"),"(kliknij lub Ctrl+kliknij)")</f>
        <v>(kliknij lub Ctrl+kliknij)</v>
      </c>
      <c r="H957" s="0" t="s">
        <v>847</v>
      </c>
    </row>
    <row r="958" customFormat="false" ht="12.8" hidden="false" customHeight="false" outlineLevel="0" collapsed="false">
      <c r="A958" s="1" t="s">
        <v>569</v>
      </c>
      <c r="C958" s="3" t="s">
        <v>584</v>
      </c>
      <c r="D958" s="4" t="s">
        <v>571</v>
      </c>
      <c r="F958" s="6" t="s">
        <v>585</v>
      </c>
      <c r="G958" s="7" t="str">
        <f aca="false">HYPERLINK(CONCATENATE("http://crfop.gdos.gov.pl/CRFOP/widok/viewpomnikprzyrody.jsf?fop=","PL.ZIPOP.1393.PP.1014082.1649"),"(kliknij lub Ctrl+kliknij)")</f>
        <v>(kliknij lub Ctrl+kliknij)</v>
      </c>
      <c r="H958" s="0" t="s">
        <v>847</v>
      </c>
    </row>
    <row r="959" customFormat="false" ht="12.8" hidden="false" customHeight="false" outlineLevel="0" collapsed="false">
      <c r="A959" s="1" t="s">
        <v>569</v>
      </c>
      <c r="C959" s="3" t="s">
        <v>584</v>
      </c>
      <c r="D959" s="4" t="s">
        <v>571</v>
      </c>
      <c r="F959" s="6" t="s">
        <v>585</v>
      </c>
      <c r="G959" s="7" t="str">
        <f aca="false">HYPERLINK(CONCATENATE("http://crfop.gdos.gov.pl/CRFOP/widok/viewpomnikprzyrody.jsf?fop=","PL.ZIPOP.1393.PP.1014082.1650"),"(kliknij lub Ctrl+kliknij)")</f>
        <v>(kliknij lub Ctrl+kliknij)</v>
      </c>
      <c r="H959" s="0" t="s">
        <v>847</v>
      </c>
    </row>
    <row r="960" customFormat="false" ht="12.8" hidden="false" customHeight="false" outlineLevel="0" collapsed="false">
      <c r="A960" s="1" t="s">
        <v>569</v>
      </c>
      <c r="C960" s="3" t="s">
        <v>584</v>
      </c>
      <c r="D960" s="4" t="s">
        <v>571</v>
      </c>
      <c r="F960" s="6" t="s">
        <v>585</v>
      </c>
      <c r="G960" s="7" t="str">
        <f aca="false">HYPERLINK(CONCATENATE("http://crfop.gdos.gov.pl/CRFOP/widok/viewpomnikprzyrody.jsf?fop=","PL.ZIPOP.1393.PP.1014082.1651"),"(kliknij lub Ctrl+kliknij)")</f>
        <v>(kliknij lub Ctrl+kliknij)</v>
      </c>
      <c r="H960" s="0" t="s">
        <v>847</v>
      </c>
    </row>
    <row r="961" customFormat="false" ht="12.8" hidden="false" customHeight="false" outlineLevel="0" collapsed="false">
      <c r="A961" s="1" t="s">
        <v>569</v>
      </c>
      <c r="C961" s="3" t="s">
        <v>584</v>
      </c>
      <c r="D961" s="4" t="s">
        <v>571</v>
      </c>
      <c r="F961" s="6" t="s">
        <v>585</v>
      </c>
      <c r="G961" s="7" t="str">
        <f aca="false">HYPERLINK(CONCATENATE("http://crfop.gdos.gov.pl/CRFOP/widok/viewpomnikprzyrody.jsf?fop=","PL.ZIPOP.1393.PP.1014082.1652"),"(kliknij lub Ctrl+kliknij)")</f>
        <v>(kliknij lub Ctrl+kliknij)</v>
      </c>
      <c r="H961" s="0" t="s">
        <v>847</v>
      </c>
    </row>
    <row r="962" customFormat="false" ht="12.8" hidden="false" customHeight="false" outlineLevel="0" collapsed="false">
      <c r="A962" s="1" t="s">
        <v>569</v>
      </c>
      <c r="C962" s="3" t="s">
        <v>584</v>
      </c>
      <c r="D962" s="4" t="s">
        <v>571</v>
      </c>
      <c r="F962" s="6" t="s">
        <v>585</v>
      </c>
      <c r="G962" s="7" t="str">
        <f aca="false">HYPERLINK(CONCATENATE("http://crfop.gdos.gov.pl/CRFOP/widok/viewpomnikprzyrody.jsf?fop=","PL.ZIPOP.1393.PP.1014082.1653"),"(kliknij lub Ctrl+kliknij)")</f>
        <v>(kliknij lub Ctrl+kliknij)</v>
      </c>
      <c r="H962" s="0" t="s">
        <v>847</v>
      </c>
    </row>
    <row r="963" customFormat="false" ht="12.8" hidden="false" customHeight="false" outlineLevel="0" collapsed="false">
      <c r="A963" s="1" t="s">
        <v>569</v>
      </c>
      <c r="C963" s="3" t="s">
        <v>584</v>
      </c>
      <c r="D963" s="4" t="s">
        <v>571</v>
      </c>
      <c r="F963" s="6" t="s">
        <v>585</v>
      </c>
      <c r="G963" s="7" t="str">
        <f aca="false">HYPERLINK(CONCATENATE("http://crfop.gdos.gov.pl/CRFOP/widok/viewpomnikprzyrody.jsf?fop=","PL.ZIPOP.1393.PP.1014082.1654"),"(kliknij lub Ctrl+kliknij)")</f>
        <v>(kliknij lub Ctrl+kliknij)</v>
      </c>
      <c r="H963" s="0" t="s">
        <v>847</v>
      </c>
    </row>
    <row r="964" customFormat="false" ht="12.8" hidden="false" customHeight="false" outlineLevel="0" collapsed="false">
      <c r="A964" s="1" t="s">
        <v>569</v>
      </c>
      <c r="C964" s="3" t="s">
        <v>584</v>
      </c>
      <c r="D964" s="4" t="s">
        <v>571</v>
      </c>
      <c r="F964" s="6" t="s">
        <v>585</v>
      </c>
      <c r="G964" s="7" t="str">
        <f aca="false">HYPERLINK(CONCATENATE("http://crfop.gdos.gov.pl/CRFOP/widok/viewpomnikprzyrody.jsf?fop=","PL.ZIPOP.1393.PP.1014082.1655"),"(kliknij lub Ctrl+kliknij)")</f>
        <v>(kliknij lub Ctrl+kliknij)</v>
      </c>
      <c r="H964" s="0" t="s">
        <v>847</v>
      </c>
    </row>
    <row r="965" customFormat="false" ht="12.8" hidden="false" customHeight="false" outlineLevel="0" collapsed="false">
      <c r="A965" s="1" t="s">
        <v>569</v>
      </c>
      <c r="C965" s="3" t="s">
        <v>584</v>
      </c>
      <c r="D965" s="4" t="s">
        <v>571</v>
      </c>
      <c r="F965" s="6" t="s">
        <v>585</v>
      </c>
      <c r="G965" s="7" t="str">
        <f aca="false">HYPERLINK(CONCATENATE("http://crfop.gdos.gov.pl/CRFOP/widok/viewpomnikprzyrody.jsf?fop=","PL.ZIPOP.1393.PP.1014082.1656"),"(kliknij lub Ctrl+kliknij)")</f>
        <v>(kliknij lub Ctrl+kliknij)</v>
      </c>
      <c r="H965" s="0" t="s">
        <v>847</v>
      </c>
    </row>
    <row r="966" customFormat="false" ht="12.8" hidden="false" customHeight="false" outlineLevel="0" collapsed="false">
      <c r="A966" s="1" t="s">
        <v>569</v>
      </c>
      <c r="C966" s="3" t="s">
        <v>584</v>
      </c>
      <c r="D966" s="4" t="s">
        <v>571</v>
      </c>
      <c r="F966" s="6" t="s">
        <v>585</v>
      </c>
      <c r="G966" s="7" t="str">
        <f aca="false">HYPERLINK(CONCATENATE("http://crfop.gdos.gov.pl/CRFOP/widok/viewpomnikprzyrody.jsf?fop=","PL.ZIPOP.1393.PP.1014082.1657"),"(kliknij lub Ctrl+kliknij)")</f>
        <v>(kliknij lub Ctrl+kliknij)</v>
      </c>
      <c r="H966" s="0" t="s">
        <v>847</v>
      </c>
    </row>
    <row r="967" customFormat="false" ht="12.8" hidden="false" customHeight="false" outlineLevel="0" collapsed="false">
      <c r="A967" s="1" t="s">
        <v>569</v>
      </c>
      <c r="C967" s="3" t="s">
        <v>584</v>
      </c>
      <c r="D967" s="4" t="s">
        <v>571</v>
      </c>
      <c r="F967" s="6" t="s">
        <v>585</v>
      </c>
      <c r="G967" s="7" t="str">
        <f aca="false">HYPERLINK(CONCATENATE("http://crfop.gdos.gov.pl/CRFOP/widok/viewpomnikprzyrody.jsf?fop=","PL.ZIPOP.1393.PP.1014082.1658"),"(kliknij lub Ctrl+kliknij)")</f>
        <v>(kliknij lub Ctrl+kliknij)</v>
      </c>
      <c r="H967" s="0" t="s">
        <v>847</v>
      </c>
    </row>
    <row r="968" customFormat="false" ht="12.8" hidden="false" customHeight="false" outlineLevel="0" collapsed="false">
      <c r="A968" s="1" t="s">
        <v>569</v>
      </c>
      <c r="C968" s="3" t="s">
        <v>584</v>
      </c>
      <c r="D968" s="4" t="s">
        <v>571</v>
      </c>
      <c r="F968" s="6" t="s">
        <v>585</v>
      </c>
      <c r="G968" s="7" t="str">
        <f aca="false">HYPERLINK(CONCATENATE("http://crfop.gdos.gov.pl/CRFOP/widok/viewpomnikprzyrody.jsf?fop=","PL.ZIPOP.1393.PP.1014082.1659"),"(kliknij lub Ctrl+kliknij)")</f>
        <v>(kliknij lub Ctrl+kliknij)</v>
      </c>
      <c r="H968" s="0" t="s">
        <v>847</v>
      </c>
    </row>
    <row r="969" customFormat="false" ht="12.8" hidden="false" customHeight="false" outlineLevel="0" collapsed="false">
      <c r="A969" s="1" t="s">
        <v>569</v>
      </c>
      <c r="C969" s="3" t="s">
        <v>584</v>
      </c>
      <c r="D969" s="4" t="s">
        <v>571</v>
      </c>
      <c r="F969" s="6" t="s">
        <v>585</v>
      </c>
      <c r="G969" s="7" t="str">
        <f aca="false">HYPERLINK(CONCATENATE("http://crfop.gdos.gov.pl/CRFOP/widok/viewpomnikprzyrody.jsf?fop=","PL.ZIPOP.1393.PP.1014082.1660"),"(kliknij lub Ctrl+kliknij)")</f>
        <v>(kliknij lub Ctrl+kliknij)</v>
      </c>
      <c r="H969" s="0" t="s">
        <v>847</v>
      </c>
    </row>
    <row r="970" customFormat="false" ht="12.8" hidden="false" customHeight="false" outlineLevel="0" collapsed="false">
      <c r="A970" s="1" t="s">
        <v>569</v>
      </c>
      <c r="C970" s="3" t="s">
        <v>584</v>
      </c>
      <c r="D970" s="4" t="s">
        <v>571</v>
      </c>
      <c r="F970" s="6" t="s">
        <v>585</v>
      </c>
      <c r="G970" s="7" t="str">
        <f aca="false">HYPERLINK(CONCATENATE("http://crfop.gdos.gov.pl/CRFOP/widok/viewpomnikprzyrody.jsf?fop=","PL.ZIPOP.1393.PP.1014082.1661"),"(kliknij lub Ctrl+kliknij)")</f>
        <v>(kliknij lub Ctrl+kliknij)</v>
      </c>
      <c r="H970" s="0" t="s">
        <v>847</v>
      </c>
    </row>
    <row r="971" customFormat="false" ht="12.8" hidden="false" customHeight="false" outlineLevel="0" collapsed="false">
      <c r="A971" s="1" t="s">
        <v>569</v>
      </c>
      <c r="C971" s="3" t="s">
        <v>584</v>
      </c>
      <c r="D971" s="4" t="s">
        <v>571</v>
      </c>
      <c r="F971" s="6" t="s">
        <v>585</v>
      </c>
      <c r="G971" s="7" t="str">
        <f aca="false">HYPERLINK(CONCATENATE("http://crfop.gdos.gov.pl/CRFOP/widok/viewpomnikprzyrody.jsf?fop=","PL.ZIPOP.1393.PP.1014082.1662"),"(kliknij lub Ctrl+kliknij)")</f>
        <v>(kliknij lub Ctrl+kliknij)</v>
      </c>
      <c r="H971" s="0" t="s">
        <v>847</v>
      </c>
    </row>
    <row r="972" customFormat="false" ht="12.8" hidden="false" customHeight="false" outlineLevel="0" collapsed="false">
      <c r="A972" s="1" t="s">
        <v>569</v>
      </c>
      <c r="C972" s="3" t="s">
        <v>584</v>
      </c>
      <c r="D972" s="4" t="s">
        <v>571</v>
      </c>
      <c r="F972" s="6" t="s">
        <v>585</v>
      </c>
      <c r="G972" s="7" t="str">
        <f aca="false">HYPERLINK(CONCATENATE("http://crfop.gdos.gov.pl/CRFOP/widok/viewpomnikprzyrody.jsf?fop=","PL.ZIPOP.1393.PP.1014082.1663"),"(kliknij lub Ctrl+kliknij)")</f>
        <v>(kliknij lub Ctrl+kliknij)</v>
      </c>
      <c r="H972" s="0" t="s">
        <v>847</v>
      </c>
    </row>
    <row r="973" customFormat="false" ht="12.8" hidden="false" customHeight="false" outlineLevel="0" collapsed="false">
      <c r="A973" s="1" t="s">
        <v>569</v>
      </c>
      <c r="C973" s="3" t="s">
        <v>584</v>
      </c>
      <c r="D973" s="4" t="s">
        <v>571</v>
      </c>
      <c r="F973" s="6" t="s">
        <v>585</v>
      </c>
      <c r="G973" s="7" t="str">
        <f aca="false">HYPERLINK(CONCATENATE("http://crfop.gdos.gov.pl/CRFOP/widok/viewpomnikprzyrody.jsf?fop=","PL.ZIPOP.1393.PP.1014082.1664"),"(kliknij lub Ctrl+kliknij)")</f>
        <v>(kliknij lub Ctrl+kliknij)</v>
      </c>
      <c r="H973" s="0" t="s">
        <v>847</v>
      </c>
    </row>
    <row r="974" customFormat="false" ht="12.8" hidden="false" customHeight="false" outlineLevel="0" collapsed="false">
      <c r="A974" s="1" t="s">
        <v>569</v>
      </c>
      <c r="C974" s="3" t="s">
        <v>584</v>
      </c>
      <c r="D974" s="4" t="s">
        <v>571</v>
      </c>
      <c r="F974" s="6" t="s">
        <v>585</v>
      </c>
      <c r="G974" s="7" t="str">
        <f aca="false">HYPERLINK(CONCATENATE("http://crfop.gdos.gov.pl/CRFOP/widok/viewpomnikprzyrody.jsf?fop=","PL.ZIPOP.1393.PP.1014082.1665"),"(kliknij lub Ctrl+kliknij)")</f>
        <v>(kliknij lub Ctrl+kliknij)</v>
      </c>
      <c r="H974" s="0" t="s">
        <v>847</v>
      </c>
    </row>
    <row r="975" customFormat="false" ht="12.8" hidden="false" customHeight="false" outlineLevel="0" collapsed="false">
      <c r="A975" s="1" t="s">
        <v>569</v>
      </c>
      <c r="C975" s="3" t="s">
        <v>584</v>
      </c>
      <c r="D975" s="4" t="s">
        <v>571</v>
      </c>
      <c r="F975" s="6" t="s">
        <v>585</v>
      </c>
      <c r="G975" s="7" t="str">
        <f aca="false">HYPERLINK(CONCATENATE("http://crfop.gdos.gov.pl/CRFOP/widok/viewpomnikprzyrody.jsf?fop=","PL.ZIPOP.1393.PP.1014082.1666"),"(kliknij lub Ctrl+kliknij)")</f>
        <v>(kliknij lub Ctrl+kliknij)</v>
      </c>
      <c r="H975" s="0" t="s">
        <v>847</v>
      </c>
    </row>
    <row r="976" customFormat="false" ht="12.8" hidden="false" customHeight="false" outlineLevel="0" collapsed="false">
      <c r="A976" s="1" t="s">
        <v>569</v>
      </c>
      <c r="C976" s="3" t="s">
        <v>584</v>
      </c>
      <c r="D976" s="4" t="s">
        <v>571</v>
      </c>
      <c r="F976" s="6" t="s">
        <v>585</v>
      </c>
      <c r="G976" s="7" t="str">
        <f aca="false">HYPERLINK(CONCATENATE("http://crfop.gdos.gov.pl/CRFOP/widok/viewpomnikprzyrody.jsf?fop=","PL.ZIPOP.1393.PP.1014082.1667"),"(kliknij lub Ctrl+kliknij)")</f>
        <v>(kliknij lub Ctrl+kliknij)</v>
      </c>
      <c r="H976" s="0" t="s">
        <v>847</v>
      </c>
    </row>
    <row r="977" customFormat="false" ht="12.8" hidden="false" customHeight="false" outlineLevel="0" collapsed="false">
      <c r="A977" s="1" t="s">
        <v>569</v>
      </c>
      <c r="C977" s="3" t="s">
        <v>584</v>
      </c>
      <c r="D977" s="4" t="s">
        <v>571</v>
      </c>
      <c r="F977" s="6" t="s">
        <v>585</v>
      </c>
      <c r="G977" s="7" t="str">
        <f aca="false">HYPERLINK(CONCATENATE("http://crfop.gdos.gov.pl/CRFOP/widok/viewpomnikprzyrody.jsf?fop=","PL.ZIPOP.1393.PP.1014082.1668"),"(kliknij lub Ctrl+kliknij)")</f>
        <v>(kliknij lub Ctrl+kliknij)</v>
      </c>
      <c r="H977" s="0" t="s">
        <v>847</v>
      </c>
    </row>
    <row r="978" customFormat="false" ht="12.8" hidden="false" customHeight="false" outlineLevel="0" collapsed="false">
      <c r="A978" s="1" t="s">
        <v>569</v>
      </c>
      <c r="C978" s="3" t="s">
        <v>584</v>
      </c>
      <c r="D978" s="4" t="s">
        <v>571</v>
      </c>
      <c r="F978" s="6" t="s">
        <v>585</v>
      </c>
      <c r="G978" s="7" t="str">
        <f aca="false">HYPERLINK(CONCATENATE("http://crfop.gdos.gov.pl/CRFOP/widok/viewpomnikprzyrody.jsf?fop=","PL.ZIPOP.1393.PP.1014082.1670"),"(kliknij lub Ctrl+kliknij)")</f>
        <v>(kliknij lub Ctrl+kliknij)</v>
      </c>
      <c r="H978" s="0" t="s">
        <v>847</v>
      </c>
    </row>
    <row r="979" customFormat="false" ht="12.8" hidden="false" customHeight="false" outlineLevel="0" collapsed="false">
      <c r="A979" s="1" t="s">
        <v>569</v>
      </c>
      <c r="C979" s="3" t="s">
        <v>584</v>
      </c>
      <c r="D979" s="4" t="s">
        <v>571</v>
      </c>
      <c r="F979" s="6" t="s">
        <v>585</v>
      </c>
      <c r="G979" s="7" t="str">
        <f aca="false">HYPERLINK(CONCATENATE("http://crfop.gdos.gov.pl/CRFOP/widok/viewpomnikprzyrody.jsf?fop=","PL.ZIPOP.1393.PP.1014082.1672"),"(kliknij lub Ctrl+kliknij)")</f>
        <v>(kliknij lub Ctrl+kliknij)</v>
      </c>
      <c r="H979" s="0" t="s">
        <v>847</v>
      </c>
    </row>
    <row r="980" customFormat="false" ht="12.8" hidden="false" customHeight="false" outlineLevel="0" collapsed="false">
      <c r="A980" s="1" t="s">
        <v>569</v>
      </c>
      <c r="C980" s="3" t="s">
        <v>584</v>
      </c>
      <c r="D980" s="4" t="s">
        <v>571</v>
      </c>
      <c r="F980" s="6" t="s">
        <v>585</v>
      </c>
      <c r="G980" s="7" t="str">
        <f aca="false">HYPERLINK(CONCATENATE("http://crfop.gdos.gov.pl/CRFOP/widok/viewpomnikprzyrody.jsf?fop=","PL.ZIPOP.1393.PP.1014082.1673"),"(kliknij lub Ctrl+kliknij)")</f>
        <v>(kliknij lub Ctrl+kliknij)</v>
      </c>
      <c r="H980" s="0" t="s">
        <v>847</v>
      </c>
    </row>
    <row r="981" customFormat="false" ht="12.8" hidden="false" customHeight="false" outlineLevel="0" collapsed="false">
      <c r="A981" s="1" t="s">
        <v>569</v>
      </c>
      <c r="C981" s="3" t="s">
        <v>584</v>
      </c>
      <c r="D981" s="4" t="s">
        <v>571</v>
      </c>
      <c r="F981" s="6" t="s">
        <v>585</v>
      </c>
      <c r="G981" s="7" t="str">
        <f aca="false">HYPERLINK(CONCATENATE("http://crfop.gdos.gov.pl/CRFOP/widok/viewpomnikprzyrody.jsf?fop=","PL.ZIPOP.1393.PP.1014082.1674"),"(kliknij lub Ctrl+kliknij)")</f>
        <v>(kliknij lub Ctrl+kliknij)</v>
      </c>
      <c r="H981" s="0" t="s">
        <v>847</v>
      </c>
    </row>
    <row r="982" customFormat="false" ht="12.8" hidden="false" customHeight="false" outlineLevel="0" collapsed="false">
      <c r="A982" s="1" t="s">
        <v>569</v>
      </c>
      <c r="C982" s="3" t="s">
        <v>584</v>
      </c>
      <c r="D982" s="4" t="s">
        <v>571</v>
      </c>
      <c r="F982" s="6" t="s">
        <v>585</v>
      </c>
      <c r="G982" s="7" t="str">
        <f aca="false">HYPERLINK(CONCATENATE("http://crfop.gdos.gov.pl/CRFOP/widok/viewpomnikprzyrody.jsf?fop=","PL.ZIPOP.1393.PP.1014082.1675"),"(kliknij lub Ctrl+kliknij)")</f>
        <v>(kliknij lub Ctrl+kliknij)</v>
      </c>
      <c r="H982" s="0" t="s">
        <v>847</v>
      </c>
    </row>
    <row r="983" customFormat="false" ht="12.8" hidden="false" customHeight="false" outlineLevel="0" collapsed="false">
      <c r="A983" s="1" t="s">
        <v>569</v>
      </c>
      <c r="C983" s="3" t="s">
        <v>584</v>
      </c>
      <c r="D983" s="4" t="s">
        <v>571</v>
      </c>
      <c r="F983" s="6" t="s">
        <v>585</v>
      </c>
      <c r="G983" s="7" t="str">
        <f aca="false">HYPERLINK(CONCATENATE("http://crfop.gdos.gov.pl/CRFOP/widok/viewpomnikprzyrody.jsf?fop=","PL.ZIPOP.1393.PP.1014082.1677"),"(kliknij lub Ctrl+kliknij)")</f>
        <v>(kliknij lub Ctrl+kliknij)</v>
      </c>
      <c r="H983" s="0" t="s">
        <v>847</v>
      </c>
    </row>
    <row r="984" customFormat="false" ht="12.8" hidden="false" customHeight="false" outlineLevel="0" collapsed="false">
      <c r="A984" s="1" t="s">
        <v>569</v>
      </c>
      <c r="C984" s="3" t="s">
        <v>584</v>
      </c>
      <c r="D984" s="4" t="s">
        <v>571</v>
      </c>
      <c r="F984" s="6" t="s">
        <v>585</v>
      </c>
      <c r="G984" s="7" t="str">
        <f aca="false">HYPERLINK(CONCATENATE("http://crfop.gdos.gov.pl/CRFOP/widok/viewpomnikprzyrody.jsf?fop=","PL.ZIPOP.1393.PP.1014082.1678"),"(kliknij lub Ctrl+kliknij)")</f>
        <v>(kliknij lub Ctrl+kliknij)</v>
      </c>
      <c r="H984" s="0" t="s">
        <v>847</v>
      </c>
    </row>
    <row r="985" customFormat="false" ht="12.8" hidden="false" customHeight="false" outlineLevel="0" collapsed="false">
      <c r="A985" s="1" t="s">
        <v>569</v>
      </c>
      <c r="C985" s="3" t="s">
        <v>862</v>
      </c>
      <c r="D985" s="4" t="s">
        <v>571</v>
      </c>
      <c r="F985" s="6" t="s">
        <v>863</v>
      </c>
      <c r="G985" s="7" t="str">
        <f aca="false">HYPERLINK(CONCATENATE("http://crfop.gdos.gov.pl/CRFOP/widok/viewpomnikprzyrody.jsf?fop=","PL.ZIPOP.1393.PP.1014082.1679"),"(kliknij lub Ctrl+kliknij)")</f>
        <v>(kliknij lub Ctrl+kliknij)</v>
      </c>
      <c r="H985" s="0" t="s">
        <v>847</v>
      </c>
    </row>
    <row r="986" customFormat="false" ht="12.8" hidden="false" customHeight="false" outlineLevel="0" collapsed="false">
      <c r="A986" s="1" t="s">
        <v>569</v>
      </c>
      <c r="C986" s="3" t="s">
        <v>584</v>
      </c>
      <c r="D986" s="4" t="s">
        <v>571</v>
      </c>
      <c r="F986" s="6" t="s">
        <v>585</v>
      </c>
      <c r="G986" s="7" t="str">
        <f aca="false">HYPERLINK(CONCATENATE("http://crfop.gdos.gov.pl/CRFOP/widok/viewpomnikprzyrody.jsf?fop=","PL.ZIPOP.1393.PP.1014082.1680"),"(kliknij lub Ctrl+kliknij)")</f>
        <v>(kliknij lub Ctrl+kliknij)</v>
      </c>
      <c r="H986" s="0" t="s">
        <v>847</v>
      </c>
    </row>
    <row r="987" customFormat="false" ht="12.8" hidden="false" customHeight="false" outlineLevel="0" collapsed="false">
      <c r="A987" s="1" t="s">
        <v>569</v>
      </c>
      <c r="C987" s="3" t="s">
        <v>584</v>
      </c>
      <c r="D987" s="4" t="s">
        <v>571</v>
      </c>
      <c r="F987" s="6" t="s">
        <v>585</v>
      </c>
      <c r="G987" s="7" t="str">
        <f aca="false">HYPERLINK(CONCATENATE("http://crfop.gdos.gov.pl/CRFOP/widok/viewpomnikprzyrody.jsf?fop=","PL.ZIPOP.1393.PP.1014082.1681"),"(kliknij lub Ctrl+kliknij)")</f>
        <v>(kliknij lub Ctrl+kliknij)</v>
      </c>
      <c r="H987" s="0" t="s">
        <v>847</v>
      </c>
    </row>
    <row r="988" customFormat="false" ht="12.8" hidden="false" customHeight="false" outlineLevel="0" collapsed="false">
      <c r="A988" s="1" t="s">
        <v>569</v>
      </c>
      <c r="C988" s="3" t="s">
        <v>584</v>
      </c>
      <c r="D988" s="4" t="s">
        <v>571</v>
      </c>
      <c r="F988" s="6" t="s">
        <v>585</v>
      </c>
      <c r="G988" s="7" t="str">
        <f aca="false">HYPERLINK(CONCATENATE("http://crfop.gdos.gov.pl/CRFOP/widok/viewpomnikprzyrody.jsf?fop=","PL.ZIPOP.1393.PP.1014082.1682"),"(kliknij lub Ctrl+kliknij)")</f>
        <v>(kliknij lub Ctrl+kliknij)</v>
      </c>
      <c r="H988" s="0" t="s">
        <v>847</v>
      </c>
    </row>
    <row r="989" customFormat="false" ht="12.8" hidden="false" customHeight="false" outlineLevel="0" collapsed="false">
      <c r="A989" s="1" t="s">
        <v>569</v>
      </c>
      <c r="C989" s="3" t="s">
        <v>584</v>
      </c>
      <c r="D989" s="4" t="s">
        <v>571</v>
      </c>
      <c r="F989" s="6" t="s">
        <v>585</v>
      </c>
      <c r="G989" s="7" t="str">
        <f aca="false">HYPERLINK(CONCATENATE("http://crfop.gdos.gov.pl/CRFOP/widok/viewpomnikprzyrody.jsf?fop=","PL.ZIPOP.1393.PP.1014082.1683"),"(kliknij lub Ctrl+kliknij)")</f>
        <v>(kliknij lub Ctrl+kliknij)</v>
      </c>
      <c r="H989" s="0" t="s">
        <v>847</v>
      </c>
    </row>
    <row r="990" customFormat="false" ht="12.8" hidden="false" customHeight="false" outlineLevel="0" collapsed="false">
      <c r="A990" s="1" t="s">
        <v>569</v>
      </c>
      <c r="C990" s="3" t="s">
        <v>584</v>
      </c>
      <c r="D990" s="4" t="s">
        <v>571</v>
      </c>
      <c r="F990" s="6" t="s">
        <v>585</v>
      </c>
      <c r="G990" s="7" t="str">
        <f aca="false">HYPERLINK(CONCATENATE("http://crfop.gdos.gov.pl/CRFOP/widok/viewpomnikprzyrody.jsf?fop=","PL.ZIPOP.1393.PP.1014082.1684"),"(kliknij lub Ctrl+kliknij)")</f>
        <v>(kliknij lub Ctrl+kliknij)</v>
      </c>
      <c r="H990" s="0" t="s">
        <v>847</v>
      </c>
    </row>
    <row r="991" customFormat="false" ht="12.8" hidden="false" customHeight="false" outlineLevel="0" collapsed="false">
      <c r="A991" s="1" t="s">
        <v>569</v>
      </c>
      <c r="C991" s="3" t="s">
        <v>584</v>
      </c>
      <c r="D991" s="4" t="s">
        <v>571</v>
      </c>
      <c r="F991" s="6" t="s">
        <v>585</v>
      </c>
      <c r="G991" s="7" t="str">
        <f aca="false">HYPERLINK(CONCATENATE("http://crfop.gdos.gov.pl/CRFOP/widok/viewpomnikprzyrody.jsf?fop=","PL.ZIPOP.1393.PP.1014082.1685"),"(kliknij lub Ctrl+kliknij)")</f>
        <v>(kliknij lub Ctrl+kliknij)</v>
      </c>
      <c r="H991" s="0" t="s">
        <v>847</v>
      </c>
    </row>
    <row r="992" customFormat="false" ht="12.8" hidden="false" customHeight="false" outlineLevel="0" collapsed="false">
      <c r="A992" s="1" t="s">
        <v>569</v>
      </c>
      <c r="C992" s="3" t="s">
        <v>584</v>
      </c>
      <c r="D992" s="4" t="s">
        <v>571</v>
      </c>
      <c r="F992" s="6" t="s">
        <v>585</v>
      </c>
      <c r="G992" s="7" t="str">
        <f aca="false">HYPERLINK(CONCATENATE("http://crfop.gdos.gov.pl/CRFOP/widok/viewpomnikprzyrody.jsf?fop=","PL.ZIPOP.1393.PP.1014082.1686"),"(kliknij lub Ctrl+kliknij)")</f>
        <v>(kliknij lub Ctrl+kliknij)</v>
      </c>
      <c r="H992" s="0" t="s">
        <v>847</v>
      </c>
    </row>
    <row r="993" customFormat="false" ht="12.8" hidden="false" customHeight="false" outlineLevel="0" collapsed="false">
      <c r="A993" s="1" t="s">
        <v>569</v>
      </c>
      <c r="C993" s="3" t="s">
        <v>584</v>
      </c>
      <c r="D993" s="4" t="s">
        <v>571</v>
      </c>
      <c r="F993" s="6" t="s">
        <v>585</v>
      </c>
      <c r="G993" s="7" t="str">
        <f aca="false">HYPERLINK(CONCATENATE("http://crfop.gdos.gov.pl/CRFOP/widok/viewpomnikprzyrody.jsf?fop=","PL.ZIPOP.1393.PP.1014082.1687"),"(kliknij lub Ctrl+kliknij)")</f>
        <v>(kliknij lub Ctrl+kliknij)</v>
      </c>
      <c r="H993" s="0" t="s">
        <v>847</v>
      </c>
    </row>
    <row r="994" customFormat="false" ht="12.8" hidden="false" customHeight="false" outlineLevel="0" collapsed="false">
      <c r="A994" s="1" t="s">
        <v>569</v>
      </c>
      <c r="C994" s="3" t="s">
        <v>584</v>
      </c>
      <c r="D994" s="4" t="s">
        <v>571</v>
      </c>
      <c r="F994" s="6" t="s">
        <v>585</v>
      </c>
      <c r="G994" s="7" t="str">
        <f aca="false">HYPERLINK(CONCATENATE("http://crfop.gdos.gov.pl/CRFOP/widok/viewpomnikprzyrody.jsf?fop=","PL.ZIPOP.1393.PP.1014082.1688"),"(kliknij lub Ctrl+kliknij)")</f>
        <v>(kliknij lub Ctrl+kliknij)</v>
      </c>
      <c r="H994" s="0" t="s">
        <v>847</v>
      </c>
    </row>
    <row r="995" customFormat="false" ht="12.8" hidden="false" customHeight="false" outlineLevel="0" collapsed="false">
      <c r="A995" s="1" t="s">
        <v>569</v>
      </c>
      <c r="C995" s="3" t="s">
        <v>584</v>
      </c>
      <c r="D995" s="4" t="s">
        <v>571</v>
      </c>
      <c r="F995" s="6" t="s">
        <v>585</v>
      </c>
      <c r="G995" s="7" t="str">
        <f aca="false">HYPERLINK(CONCATENATE("http://crfop.gdos.gov.pl/CRFOP/widok/viewpomnikprzyrody.jsf?fop=","PL.ZIPOP.1393.PP.1014082.1689"),"(kliknij lub Ctrl+kliknij)")</f>
        <v>(kliknij lub Ctrl+kliknij)</v>
      </c>
      <c r="H995" s="0" t="s">
        <v>847</v>
      </c>
    </row>
    <row r="996" customFormat="false" ht="12.8" hidden="false" customHeight="false" outlineLevel="0" collapsed="false">
      <c r="A996" s="1" t="s">
        <v>569</v>
      </c>
      <c r="C996" s="3" t="s">
        <v>584</v>
      </c>
      <c r="D996" s="4" t="s">
        <v>571</v>
      </c>
      <c r="F996" s="6" t="s">
        <v>585</v>
      </c>
      <c r="G996" s="7" t="str">
        <f aca="false">HYPERLINK(CONCATENATE("http://crfop.gdos.gov.pl/CRFOP/widok/viewpomnikprzyrody.jsf?fop=","PL.ZIPOP.1393.PP.1014082.1690"),"(kliknij lub Ctrl+kliknij)")</f>
        <v>(kliknij lub Ctrl+kliknij)</v>
      </c>
      <c r="H996" s="0" t="s">
        <v>847</v>
      </c>
    </row>
    <row r="997" customFormat="false" ht="12.8" hidden="false" customHeight="false" outlineLevel="0" collapsed="false">
      <c r="A997" s="1" t="s">
        <v>569</v>
      </c>
      <c r="C997" s="3" t="s">
        <v>584</v>
      </c>
      <c r="D997" s="4" t="s">
        <v>571</v>
      </c>
      <c r="F997" s="6" t="s">
        <v>585</v>
      </c>
      <c r="G997" s="7" t="str">
        <f aca="false">HYPERLINK(CONCATENATE("http://crfop.gdos.gov.pl/CRFOP/widok/viewpomnikprzyrody.jsf?fop=","PL.ZIPOP.1393.PP.1014082.1691"),"(kliknij lub Ctrl+kliknij)")</f>
        <v>(kliknij lub Ctrl+kliknij)</v>
      </c>
      <c r="H997" s="0" t="s">
        <v>847</v>
      </c>
    </row>
    <row r="998" customFormat="false" ht="12.8" hidden="false" customHeight="false" outlineLevel="0" collapsed="false">
      <c r="A998" s="1" t="s">
        <v>569</v>
      </c>
      <c r="C998" s="3" t="s">
        <v>584</v>
      </c>
      <c r="D998" s="4" t="s">
        <v>571</v>
      </c>
      <c r="F998" s="6" t="s">
        <v>585</v>
      </c>
      <c r="G998" s="7" t="str">
        <f aca="false">HYPERLINK(CONCATENATE("http://crfop.gdos.gov.pl/CRFOP/widok/viewpomnikprzyrody.jsf?fop=","PL.ZIPOP.1393.PP.1014082.1692"),"(kliknij lub Ctrl+kliknij)")</f>
        <v>(kliknij lub Ctrl+kliknij)</v>
      </c>
      <c r="H998" s="0" t="s">
        <v>847</v>
      </c>
    </row>
    <row r="999" customFormat="false" ht="12.8" hidden="false" customHeight="false" outlineLevel="0" collapsed="false">
      <c r="A999" s="1" t="s">
        <v>569</v>
      </c>
      <c r="C999" s="3" t="s">
        <v>584</v>
      </c>
      <c r="D999" s="4" t="s">
        <v>571</v>
      </c>
      <c r="F999" s="6" t="s">
        <v>585</v>
      </c>
      <c r="G999" s="7" t="str">
        <f aca="false">HYPERLINK(CONCATENATE("http://crfop.gdos.gov.pl/CRFOP/widok/viewpomnikprzyrody.jsf?fop=","PL.ZIPOP.1393.PP.1014082.1693"),"(kliknij lub Ctrl+kliknij)")</f>
        <v>(kliknij lub Ctrl+kliknij)</v>
      </c>
      <c r="H999" s="0" t="s">
        <v>847</v>
      </c>
    </row>
    <row r="1000" customFormat="false" ht="12.8" hidden="false" customHeight="false" outlineLevel="0" collapsed="false">
      <c r="A1000" s="1" t="s">
        <v>569</v>
      </c>
      <c r="C1000" s="3" t="s">
        <v>584</v>
      </c>
      <c r="D1000" s="4" t="s">
        <v>571</v>
      </c>
      <c r="F1000" s="6" t="s">
        <v>585</v>
      </c>
      <c r="G1000" s="7" t="str">
        <f aca="false">HYPERLINK(CONCATENATE("http://crfop.gdos.gov.pl/CRFOP/widok/viewpomnikprzyrody.jsf?fop=","PL.ZIPOP.1393.PP.1014082.1694"),"(kliknij lub Ctrl+kliknij)")</f>
        <v>(kliknij lub Ctrl+kliknij)</v>
      </c>
      <c r="H1000" s="0" t="s">
        <v>847</v>
      </c>
    </row>
    <row r="1001" customFormat="false" ht="12.8" hidden="false" customHeight="false" outlineLevel="0" collapsed="false">
      <c r="A1001" s="1" t="s">
        <v>569</v>
      </c>
      <c r="C1001" s="3" t="s">
        <v>584</v>
      </c>
      <c r="D1001" s="4" t="s">
        <v>571</v>
      </c>
      <c r="F1001" s="6" t="s">
        <v>585</v>
      </c>
      <c r="G1001" s="7" t="str">
        <f aca="false">HYPERLINK(CONCATENATE("http://crfop.gdos.gov.pl/CRFOP/widok/viewpomnikprzyrody.jsf?fop=","PL.ZIPOP.1393.PP.1014082.1695"),"(kliknij lub Ctrl+kliknij)")</f>
        <v>(kliknij lub Ctrl+kliknij)</v>
      </c>
      <c r="H1001" s="0" t="s">
        <v>847</v>
      </c>
    </row>
    <row r="1002" customFormat="false" ht="12.8" hidden="false" customHeight="false" outlineLevel="0" collapsed="false">
      <c r="A1002" s="1" t="s">
        <v>569</v>
      </c>
      <c r="C1002" s="3" t="s">
        <v>864</v>
      </c>
      <c r="D1002" s="4" t="s">
        <v>571</v>
      </c>
      <c r="F1002" s="6" t="s">
        <v>865</v>
      </c>
      <c r="G1002" s="7" t="str">
        <f aca="false">HYPERLINK(CONCATENATE("http://crfop.gdos.gov.pl/CRFOP/widok/viewpomnikprzyrody.jsf?fop=","PL.ZIPOP.1393.PP.1014082.1696"),"(kliknij lub Ctrl+kliknij)")</f>
        <v>(kliknij lub Ctrl+kliknij)</v>
      </c>
      <c r="H1002" s="0" t="s">
        <v>847</v>
      </c>
    </row>
    <row r="1003" customFormat="false" ht="12.8" hidden="false" customHeight="false" outlineLevel="0" collapsed="false">
      <c r="A1003" s="1" t="s">
        <v>569</v>
      </c>
      <c r="C1003" s="3" t="s">
        <v>643</v>
      </c>
      <c r="D1003" s="4" t="s">
        <v>571</v>
      </c>
      <c r="F1003" s="6" t="s">
        <v>445</v>
      </c>
      <c r="G1003" s="7" t="str">
        <f aca="false">HYPERLINK(CONCATENATE("http://crfop.gdos.gov.pl/CRFOP/widok/viewpomnikprzyrody.jsf?fop=","PL.ZIPOP.1393.PP.1014093.1787"),"(kliknij lub Ctrl+kliknij)")</f>
        <v>(kliknij lub Ctrl+kliknij)</v>
      </c>
      <c r="H1003" s="0" t="s">
        <v>866</v>
      </c>
    </row>
    <row r="1004" customFormat="false" ht="12.8" hidden="false" customHeight="false" outlineLevel="0" collapsed="false">
      <c r="A1004" s="1" t="s">
        <v>569</v>
      </c>
      <c r="C1004" s="3" t="s">
        <v>584</v>
      </c>
      <c r="D1004" s="4" t="s">
        <v>571</v>
      </c>
      <c r="F1004" s="6" t="s">
        <v>585</v>
      </c>
      <c r="G1004" s="7" t="str">
        <f aca="false">HYPERLINK(CONCATENATE("http://crfop.gdos.gov.pl/CRFOP/widok/viewpomnikprzyrody.jsf?fop=","PL.ZIPOP.1393.PP.1014093.1788"),"(kliknij lub Ctrl+kliknij)")</f>
        <v>(kliknij lub Ctrl+kliknij)</v>
      </c>
      <c r="H1004" s="0" t="s">
        <v>866</v>
      </c>
    </row>
    <row r="1005" customFormat="false" ht="12.8" hidden="false" customHeight="false" outlineLevel="0" collapsed="false">
      <c r="A1005" s="1" t="s">
        <v>569</v>
      </c>
      <c r="C1005" s="3" t="s">
        <v>584</v>
      </c>
      <c r="D1005" s="4" t="s">
        <v>571</v>
      </c>
      <c r="F1005" s="6" t="s">
        <v>585</v>
      </c>
      <c r="G1005" s="7" t="str">
        <f aca="false">HYPERLINK(CONCATENATE("http://crfop.gdos.gov.pl/CRFOP/widok/viewpomnikprzyrody.jsf?fop=","PL.ZIPOP.1393.PP.1014093.1789"),"(kliknij lub Ctrl+kliknij)")</f>
        <v>(kliknij lub Ctrl+kliknij)</v>
      </c>
      <c r="H1005" s="0" t="s">
        <v>866</v>
      </c>
    </row>
    <row r="1006" customFormat="false" ht="12.8" hidden="false" customHeight="false" outlineLevel="0" collapsed="false">
      <c r="A1006" s="1" t="s">
        <v>569</v>
      </c>
      <c r="C1006" s="3" t="s">
        <v>584</v>
      </c>
      <c r="D1006" s="4" t="s">
        <v>571</v>
      </c>
      <c r="F1006" s="6" t="s">
        <v>585</v>
      </c>
      <c r="G1006" s="7" t="str">
        <f aca="false">HYPERLINK(CONCATENATE("http://crfop.gdos.gov.pl/CRFOP/widok/viewpomnikprzyrody.jsf?fop=","PL.ZIPOP.1393.PP.1014093.1790"),"(kliknij lub Ctrl+kliknij)")</f>
        <v>(kliknij lub Ctrl+kliknij)</v>
      </c>
      <c r="H1006" s="0" t="s">
        <v>866</v>
      </c>
    </row>
    <row r="1007" customFormat="false" ht="12.8" hidden="false" customHeight="false" outlineLevel="0" collapsed="false">
      <c r="A1007" s="1" t="s">
        <v>569</v>
      </c>
      <c r="C1007" s="3" t="s">
        <v>584</v>
      </c>
      <c r="D1007" s="4" t="s">
        <v>571</v>
      </c>
      <c r="F1007" s="6" t="s">
        <v>585</v>
      </c>
      <c r="G1007" s="7" t="str">
        <f aca="false">HYPERLINK(CONCATENATE("http://crfop.gdos.gov.pl/CRFOP/widok/viewpomnikprzyrody.jsf?fop=","PL.ZIPOP.1393.PP.1014093.1791"),"(kliknij lub Ctrl+kliknij)")</f>
        <v>(kliknij lub Ctrl+kliknij)</v>
      </c>
      <c r="H1007" s="0" t="s">
        <v>866</v>
      </c>
    </row>
    <row r="1008" customFormat="false" ht="12.8" hidden="false" customHeight="false" outlineLevel="0" collapsed="false">
      <c r="A1008" s="1" t="s">
        <v>569</v>
      </c>
      <c r="C1008" s="3" t="s">
        <v>584</v>
      </c>
      <c r="D1008" s="4" t="s">
        <v>571</v>
      </c>
      <c r="F1008" s="6" t="s">
        <v>585</v>
      </c>
      <c r="G1008" s="7" t="str">
        <f aca="false">HYPERLINK(CONCATENATE("http://crfop.gdos.gov.pl/CRFOP/widok/viewpomnikprzyrody.jsf?fop=","PL.ZIPOP.1393.PP.1014093.1792"),"(kliknij lub Ctrl+kliknij)")</f>
        <v>(kliknij lub Ctrl+kliknij)</v>
      </c>
      <c r="H1008" s="0" t="s">
        <v>866</v>
      </c>
    </row>
    <row r="1009" customFormat="false" ht="12.8" hidden="false" customHeight="false" outlineLevel="0" collapsed="false">
      <c r="A1009" s="1" t="s">
        <v>569</v>
      </c>
      <c r="C1009" s="3" t="s">
        <v>584</v>
      </c>
      <c r="D1009" s="4" t="s">
        <v>571</v>
      </c>
      <c r="F1009" s="6" t="s">
        <v>585</v>
      </c>
      <c r="G1009" s="7" t="str">
        <f aca="false">HYPERLINK(CONCATENATE("http://crfop.gdos.gov.pl/CRFOP/widok/viewpomnikprzyrody.jsf?fop=","PL.ZIPOP.1393.PP.1014093.1793"),"(kliknij lub Ctrl+kliknij)")</f>
        <v>(kliknij lub Ctrl+kliknij)</v>
      </c>
      <c r="H1009" s="0" t="s">
        <v>866</v>
      </c>
    </row>
    <row r="1010" customFormat="false" ht="12.8" hidden="false" customHeight="false" outlineLevel="0" collapsed="false">
      <c r="A1010" s="1" t="s">
        <v>569</v>
      </c>
      <c r="C1010" s="3" t="s">
        <v>584</v>
      </c>
      <c r="D1010" s="4" t="s">
        <v>571</v>
      </c>
      <c r="F1010" s="6" t="s">
        <v>585</v>
      </c>
      <c r="G1010" s="7" t="str">
        <f aca="false">HYPERLINK(CONCATENATE("http://crfop.gdos.gov.pl/CRFOP/widok/viewpomnikprzyrody.jsf?fop=","PL.ZIPOP.1393.PP.1014093.1794"),"(kliknij lub Ctrl+kliknij)")</f>
        <v>(kliknij lub Ctrl+kliknij)</v>
      </c>
      <c r="H1010" s="0" t="s">
        <v>866</v>
      </c>
    </row>
    <row r="1011" customFormat="false" ht="12.8" hidden="false" customHeight="false" outlineLevel="0" collapsed="false">
      <c r="A1011" s="1" t="s">
        <v>569</v>
      </c>
      <c r="C1011" s="3" t="s">
        <v>584</v>
      </c>
      <c r="D1011" s="4" t="s">
        <v>571</v>
      </c>
      <c r="F1011" s="6" t="s">
        <v>585</v>
      </c>
      <c r="G1011" s="7" t="str">
        <f aca="false">HYPERLINK(CONCATENATE("http://crfop.gdos.gov.pl/CRFOP/widok/viewpomnikprzyrody.jsf?fop=","PL.ZIPOP.1393.PP.1014093.1795"),"(kliknij lub Ctrl+kliknij)")</f>
        <v>(kliknij lub Ctrl+kliknij)</v>
      </c>
      <c r="H1011" s="0" t="s">
        <v>866</v>
      </c>
    </row>
    <row r="1012" customFormat="false" ht="12.8" hidden="false" customHeight="false" outlineLevel="0" collapsed="false">
      <c r="A1012" s="1" t="s">
        <v>569</v>
      </c>
      <c r="C1012" s="3" t="s">
        <v>584</v>
      </c>
      <c r="D1012" s="4" t="s">
        <v>571</v>
      </c>
      <c r="F1012" s="6" t="s">
        <v>585</v>
      </c>
      <c r="G1012" s="7" t="str">
        <f aca="false">HYPERLINK(CONCATENATE("http://crfop.gdos.gov.pl/CRFOP/widok/viewpomnikprzyrody.jsf?fop=","PL.ZIPOP.1393.PP.1014093.1796"),"(kliknij lub Ctrl+kliknij)")</f>
        <v>(kliknij lub Ctrl+kliknij)</v>
      </c>
      <c r="H1012" s="0" t="s">
        <v>866</v>
      </c>
    </row>
    <row r="1013" customFormat="false" ht="12.8" hidden="false" customHeight="false" outlineLevel="0" collapsed="false">
      <c r="A1013" s="1" t="s">
        <v>569</v>
      </c>
      <c r="C1013" s="3" t="s">
        <v>584</v>
      </c>
      <c r="D1013" s="4" t="s">
        <v>571</v>
      </c>
      <c r="F1013" s="6" t="s">
        <v>585</v>
      </c>
      <c r="G1013" s="7" t="str">
        <f aca="false">HYPERLINK(CONCATENATE("http://crfop.gdos.gov.pl/CRFOP/widok/viewpomnikprzyrody.jsf?fop=","PL.ZIPOP.1393.PP.1014093.1797"),"(kliknij lub Ctrl+kliknij)")</f>
        <v>(kliknij lub Ctrl+kliknij)</v>
      </c>
      <c r="H1013" s="0" t="s">
        <v>866</v>
      </c>
    </row>
    <row r="1014" customFormat="false" ht="12.8" hidden="false" customHeight="false" outlineLevel="0" collapsed="false">
      <c r="A1014" s="1" t="s">
        <v>569</v>
      </c>
      <c r="C1014" s="3" t="s">
        <v>584</v>
      </c>
      <c r="D1014" s="4" t="s">
        <v>571</v>
      </c>
      <c r="F1014" s="6" t="s">
        <v>585</v>
      </c>
      <c r="G1014" s="7" t="str">
        <f aca="false">HYPERLINK(CONCATENATE("http://crfop.gdos.gov.pl/CRFOP/widok/viewpomnikprzyrody.jsf?fop=","PL.ZIPOP.1393.PP.1014093.1798"),"(kliknij lub Ctrl+kliknij)")</f>
        <v>(kliknij lub Ctrl+kliknij)</v>
      </c>
      <c r="H1014" s="0" t="s">
        <v>866</v>
      </c>
    </row>
    <row r="1015" customFormat="false" ht="12.8" hidden="false" customHeight="false" outlineLevel="0" collapsed="false">
      <c r="A1015" s="1" t="s">
        <v>569</v>
      </c>
      <c r="C1015" s="3" t="s">
        <v>584</v>
      </c>
      <c r="D1015" s="4" t="s">
        <v>571</v>
      </c>
      <c r="F1015" s="6" t="s">
        <v>585</v>
      </c>
      <c r="G1015" s="7" t="str">
        <f aca="false">HYPERLINK(CONCATENATE("http://crfop.gdos.gov.pl/CRFOP/widok/viewpomnikprzyrody.jsf?fop=","PL.ZIPOP.1393.PP.1014093.1799"),"(kliknij lub Ctrl+kliknij)")</f>
        <v>(kliknij lub Ctrl+kliknij)</v>
      </c>
      <c r="H1015" s="0" t="s">
        <v>866</v>
      </c>
    </row>
    <row r="1016" customFormat="false" ht="12.8" hidden="false" customHeight="false" outlineLevel="0" collapsed="false">
      <c r="A1016" s="1" t="s">
        <v>569</v>
      </c>
      <c r="C1016" s="3" t="s">
        <v>584</v>
      </c>
      <c r="D1016" s="4" t="s">
        <v>571</v>
      </c>
      <c r="F1016" s="6" t="s">
        <v>585</v>
      </c>
      <c r="G1016" s="7" t="str">
        <f aca="false">HYPERLINK(CONCATENATE("http://crfop.gdos.gov.pl/CRFOP/widok/viewpomnikprzyrody.jsf?fop=","PL.ZIPOP.1393.PP.1014093.1800"),"(kliknij lub Ctrl+kliknij)")</f>
        <v>(kliknij lub Ctrl+kliknij)</v>
      </c>
      <c r="H1016" s="0" t="s">
        <v>866</v>
      </c>
    </row>
    <row r="1017" customFormat="false" ht="12.8" hidden="false" customHeight="false" outlineLevel="0" collapsed="false">
      <c r="A1017" s="1" t="s">
        <v>569</v>
      </c>
      <c r="C1017" s="3" t="s">
        <v>584</v>
      </c>
      <c r="D1017" s="4" t="s">
        <v>571</v>
      </c>
      <c r="F1017" s="6" t="s">
        <v>585</v>
      </c>
      <c r="G1017" s="7" t="str">
        <f aca="false">HYPERLINK(CONCATENATE("http://crfop.gdos.gov.pl/CRFOP/widok/viewpomnikprzyrody.jsf?fop=","PL.ZIPOP.1393.PP.1014093.1802"),"(kliknij lub Ctrl+kliknij)")</f>
        <v>(kliknij lub Ctrl+kliknij)</v>
      </c>
      <c r="H1017" s="0" t="s">
        <v>866</v>
      </c>
    </row>
    <row r="1018" customFormat="false" ht="12.8" hidden="false" customHeight="false" outlineLevel="0" collapsed="false">
      <c r="A1018" s="1" t="s">
        <v>569</v>
      </c>
      <c r="C1018" s="3" t="s">
        <v>584</v>
      </c>
      <c r="D1018" s="4" t="s">
        <v>571</v>
      </c>
      <c r="F1018" s="6" t="s">
        <v>585</v>
      </c>
      <c r="G1018" s="7" t="str">
        <f aca="false">HYPERLINK(CONCATENATE("http://crfop.gdos.gov.pl/CRFOP/widok/viewpomnikprzyrody.jsf?fop=","PL.ZIPOP.1393.PP.1014093.1803"),"(kliknij lub Ctrl+kliknij)")</f>
        <v>(kliknij lub Ctrl+kliknij)</v>
      </c>
      <c r="H1018" s="0" t="s">
        <v>866</v>
      </c>
    </row>
    <row r="1019" customFormat="false" ht="12.8" hidden="false" customHeight="false" outlineLevel="0" collapsed="false">
      <c r="A1019" s="1" t="s">
        <v>569</v>
      </c>
      <c r="C1019" s="3" t="s">
        <v>584</v>
      </c>
      <c r="D1019" s="4" t="s">
        <v>571</v>
      </c>
      <c r="F1019" s="6" t="s">
        <v>585</v>
      </c>
      <c r="G1019" s="7" t="str">
        <f aca="false">HYPERLINK(CONCATENATE("http://crfop.gdos.gov.pl/CRFOP/widok/viewpomnikprzyrody.jsf?fop=","PL.ZIPOP.1393.PP.1014093.1804"),"(kliknij lub Ctrl+kliknij)")</f>
        <v>(kliknij lub Ctrl+kliknij)</v>
      </c>
      <c r="H1019" s="0" t="s">
        <v>866</v>
      </c>
    </row>
    <row r="1020" customFormat="false" ht="12.8" hidden="false" customHeight="false" outlineLevel="0" collapsed="false">
      <c r="A1020" s="1" t="s">
        <v>569</v>
      </c>
      <c r="C1020" s="3" t="s">
        <v>584</v>
      </c>
      <c r="D1020" s="4" t="s">
        <v>571</v>
      </c>
      <c r="F1020" s="6" t="s">
        <v>585</v>
      </c>
      <c r="G1020" s="7" t="str">
        <f aca="false">HYPERLINK(CONCATENATE("http://crfop.gdos.gov.pl/CRFOP/widok/viewpomnikprzyrody.jsf?fop=","PL.ZIPOP.1393.PP.1014093.1806"),"(kliknij lub Ctrl+kliknij)")</f>
        <v>(kliknij lub Ctrl+kliknij)</v>
      </c>
      <c r="H1020" s="0" t="s">
        <v>866</v>
      </c>
    </row>
    <row r="1021" customFormat="false" ht="12.8" hidden="false" customHeight="false" outlineLevel="0" collapsed="false">
      <c r="A1021" s="1" t="s">
        <v>569</v>
      </c>
      <c r="C1021" s="3" t="s">
        <v>584</v>
      </c>
      <c r="D1021" s="4" t="s">
        <v>571</v>
      </c>
      <c r="F1021" s="6" t="s">
        <v>585</v>
      </c>
      <c r="G1021" s="7" t="str">
        <f aca="false">HYPERLINK(CONCATENATE("http://crfop.gdos.gov.pl/CRFOP/widok/viewpomnikprzyrody.jsf?fop=","PL.ZIPOP.1393.PP.1014093.1807"),"(kliknij lub Ctrl+kliknij)")</f>
        <v>(kliknij lub Ctrl+kliknij)</v>
      </c>
      <c r="H1021" s="0" t="s">
        <v>866</v>
      </c>
    </row>
    <row r="1022" customFormat="false" ht="12.8" hidden="false" customHeight="false" outlineLevel="0" collapsed="false">
      <c r="A1022" s="1" t="s">
        <v>569</v>
      </c>
      <c r="C1022" s="3" t="s">
        <v>584</v>
      </c>
      <c r="D1022" s="4" t="s">
        <v>571</v>
      </c>
      <c r="F1022" s="6" t="s">
        <v>585</v>
      </c>
      <c r="G1022" s="7" t="str">
        <f aca="false">HYPERLINK(CONCATENATE("http://crfop.gdos.gov.pl/CRFOP/widok/viewpomnikprzyrody.jsf?fop=","PL.ZIPOP.1393.PP.1014093.1808"),"(kliknij lub Ctrl+kliknij)")</f>
        <v>(kliknij lub Ctrl+kliknij)</v>
      </c>
      <c r="H1022" s="0" t="s">
        <v>866</v>
      </c>
    </row>
    <row r="1023" customFormat="false" ht="12.8" hidden="false" customHeight="false" outlineLevel="0" collapsed="false">
      <c r="A1023" s="1" t="s">
        <v>569</v>
      </c>
      <c r="C1023" s="3" t="s">
        <v>584</v>
      </c>
      <c r="D1023" s="4" t="s">
        <v>571</v>
      </c>
      <c r="F1023" s="6" t="s">
        <v>585</v>
      </c>
      <c r="G1023" s="7" t="str">
        <f aca="false">HYPERLINK(CONCATENATE("http://crfop.gdos.gov.pl/CRFOP/widok/viewpomnikprzyrody.jsf?fop=","PL.ZIPOP.1393.PP.1014093.1809"),"(kliknij lub Ctrl+kliknij)")</f>
        <v>(kliknij lub Ctrl+kliknij)</v>
      </c>
      <c r="H1023" s="0" t="s">
        <v>866</v>
      </c>
    </row>
    <row r="1024" customFormat="false" ht="12.8" hidden="false" customHeight="false" outlineLevel="0" collapsed="false">
      <c r="A1024" s="1" t="s">
        <v>569</v>
      </c>
      <c r="C1024" s="3" t="s">
        <v>584</v>
      </c>
      <c r="D1024" s="4" t="s">
        <v>571</v>
      </c>
      <c r="F1024" s="6" t="s">
        <v>585</v>
      </c>
      <c r="G1024" s="7" t="str">
        <f aca="false">HYPERLINK(CONCATENATE("http://crfop.gdos.gov.pl/CRFOP/widok/viewpomnikprzyrody.jsf?fop=","PL.ZIPOP.1393.PP.1014093.1810"),"(kliknij lub Ctrl+kliknij)")</f>
        <v>(kliknij lub Ctrl+kliknij)</v>
      </c>
      <c r="H1024" s="0" t="s">
        <v>866</v>
      </c>
    </row>
    <row r="1025" customFormat="false" ht="12.8" hidden="false" customHeight="false" outlineLevel="0" collapsed="false">
      <c r="A1025" s="1" t="s">
        <v>569</v>
      </c>
      <c r="C1025" s="3" t="s">
        <v>584</v>
      </c>
      <c r="D1025" s="4" t="s">
        <v>571</v>
      </c>
      <c r="F1025" s="6" t="s">
        <v>585</v>
      </c>
      <c r="G1025" s="7" t="str">
        <f aca="false">HYPERLINK(CONCATENATE("http://crfop.gdos.gov.pl/CRFOP/widok/viewpomnikprzyrody.jsf?fop=","PL.ZIPOP.1393.PP.1014093.1811"),"(kliknij lub Ctrl+kliknij)")</f>
        <v>(kliknij lub Ctrl+kliknij)</v>
      </c>
      <c r="H1025" s="0" t="s">
        <v>866</v>
      </c>
    </row>
    <row r="1026" customFormat="false" ht="12.8" hidden="false" customHeight="false" outlineLevel="0" collapsed="false">
      <c r="A1026" s="1" t="s">
        <v>569</v>
      </c>
      <c r="C1026" s="3" t="s">
        <v>584</v>
      </c>
      <c r="D1026" s="4" t="s">
        <v>571</v>
      </c>
      <c r="F1026" s="6" t="s">
        <v>585</v>
      </c>
      <c r="G1026" s="7" t="str">
        <f aca="false">HYPERLINK(CONCATENATE("http://crfop.gdos.gov.pl/CRFOP/widok/viewpomnikprzyrody.jsf?fop=","PL.ZIPOP.1393.PP.1014093.1812"),"(kliknij lub Ctrl+kliknij)")</f>
        <v>(kliknij lub Ctrl+kliknij)</v>
      </c>
      <c r="H1026" s="0" t="s">
        <v>866</v>
      </c>
    </row>
    <row r="1027" customFormat="false" ht="12.8" hidden="false" customHeight="false" outlineLevel="0" collapsed="false">
      <c r="A1027" s="1" t="s">
        <v>569</v>
      </c>
      <c r="C1027" s="3" t="s">
        <v>584</v>
      </c>
      <c r="D1027" s="4" t="s">
        <v>571</v>
      </c>
      <c r="F1027" s="6" t="s">
        <v>585</v>
      </c>
      <c r="G1027" s="7" t="str">
        <f aca="false">HYPERLINK(CONCATENATE("http://crfop.gdos.gov.pl/CRFOP/widok/viewpomnikprzyrody.jsf?fop=","PL.ZIPOP.1393.PP.1014093.1813"),"(kliknij lub Ctrl+kliknij)")</f>
        <v>(kliknij lub Ctrl+kliknij)</v>
      </c>
      <c r="H1027" s="0" t="s">
        <v>866</v>
      </c>
    </row>
    <row r="1028" customFormat="false" ht="12.8" hidden="false" customHeight="false" outlineLevel="0" collapsed="false">
      <c r="A1028" s="1" t="s">
        <v>569</v>
      </c>
      <c r="C1028" s="3" t="s">
        <v>584</v>
      </c>
      <c r="D1028" s="4" t="s">
        <v>571</v>
      </c>
      <c r="F1028" s="6" t="s">
        <v>585</v>
      </c>
      <c r="G1028" s="7" t="str">
        <f aca="false">HYPERLINK(CONCATENATE("http://crfop.gdos.gov.pl/CRFOP/widok/viewpomnikprzyrody.jsf?fop=","PL.ZIPOP.1393.PP.1014093.1814"),"(kliknij lub Ctrl+kliknij)")</f>
        <v>(kliknij lub Ctrl+kliknij)</v>
      </c>
      <c r="H1028" s="0" t="s">
        <v>866</v>
      </c>
    </row>
    <row r="1029" customFormat="false" ht="12.8" hidden="false" customHeight="false" outlineLevel="0" collapsed="false">
      <c r="A1029" s="1" t="s">
        <v>569</v>
      </c>
      <c r="C1029" s="3" t="s">
        <v>584</v>
      </c>
      <c r="D1029" s="4" t="s">
        <v>571</v>
      </c>
      <c r="F1029" s="6" t="s">
        <v>585</v>
      </c>
      <c r="G1029" s="7" t="str">
        <f aca="false">HYPERLINK(CONCATENATE("http://crfop.gdos.gov.pl/CRFOP/widok/viewpomnikprzyrody.jsf?fop=","PL.ZIPOP.1393.PP.1014093.1815"),"(kliknij lub Ctrl+kliknij)")</f>
        <v>(kliknij lub Ctrl+kliknij)</v>
      </c>
      <c r="H1029" s="0" t="s">
        <v>866</v>
      </c>
    </row>
    <row r="1030" customFormat="false" ht="12.8" hidden="false" customHeight="false" outlineLevel="0" collapsed="false">
      <c r="A1030" s="1" t="s">
        <v>569</v>
      </c>
      <c r="C1030" s="3" t="s">
        <v>584</v>
      </c>
      <c r="D1030" s="4" t="s">
        <v>571</v>
      </c>
      <c r="F1030" s="6" t="s">
        <v>585</v>
      </c>
      <c r="G1030" s="7" t="str">
        <f aca="false">HYPERLINK(CONCATENATE("http://crfop.gdos.gov.pl/CRFOP/widok/viewpomnikprzyrody.jsf?fop=","PL.ZIPOP.1393.PP.1014093.1816"),"(kliknij lub Ctrl+kliknij)")</f>
        <v>(kliknij lub Ctrl+kliknij)</v>
      </c>
      <c r="H1030" s="0" t="s">
        <v>866</v>
      </c>
    </row>
    <row r="1031" customFormat="false" ht="12.8" hidden="false" customHeight="false" outlineLevel="0" collapsed="false">
      <c r="A1031" s="1" t="s">
        <v>569</v>
      </c>
      <c r="C1031" s="3" t="s">
        <v>584</v>
      </c>
      <c r="D1031" s="4" t="s">
        <v>571</v>
      </c>
      <c r="F1031" s="6" t="s">
        <v>585</v>
      </c>
      <c r="G1031" s="7" t="str">
        <f aca="false">HYPERLINK(CONCATENATE("http://crfop.gdos.gov.pl/CRFOP/widok/viewpomnikprzyrody.jsf?fop=","PL.ZIPOP.1393.PP.1014093.1817"),"(kliknij lub Ctrl+kliknij)")</f>
        <v>(kliknij lub Ctrl+kliknij)</v>
      </c>
      <c r="H1031" s="0" t="s">
        <v>866</v>
      </c>
    </row>
    <row r="1032" customFormat="false" ht="12.8" hidden="false" customHeight="false" outlineLevel="0" collapsed="false">
      <c r="A1032" s="1" t="s">
        <v>569</v>
      </c>
      <c r="C1032" s="3" t="s">
        <v>584</v>
      </c>
      <c r="D1032" s="4" t="s">
        <v>571</v>
      </c>
      <c r="F1032" s="6" t="s">
        <v>585</v>
      </c>
      <c r="G1032" s="7" t="str">
        <f aca="false">HYPERLINK(CONCATENATE("http://crfop.gdos.gov.pl/CRFOP/widok/viewpomnikprzyrody.jsf?fop=","PL.ZIPOP.1393.PP.1014093.1818"),"(kliknij lub Ctrl+kliknij)")</f>
        <v>(kliknij lub Ctrl+kliknij)</v>
      </c>
      <c r="H1032" s="0" t="s">
        <v>866</v>
      </c>
    </row>
    <row r="1033" customFormat="false" ht="12.8" hidden="false" customHeight="false" outlineLevel="0" collapsed="false">
      <c r="A1033" s="1" t="s">
        <v>569</v>
      </c>
      <c r="C1033" s="3" t="s">
        <v>643</v>
      </c>
      <c r="D1033" s="4" t="s">
        <v>571</v>
      </c>
      <c r="F1033" s="6" t="s">
        <v>445</v>
      </c>
      <c r="G1033" s="7" t="str">
        <f aca="false">HYPERLINK(CONCATENATE("http://crfop.gdos.gov.pl/CRFOP/widok/viewpomnikprzyrody.jsf?fop=","PL.ZIPOP.1393.PP.1014102.1742"),"(kliknij lub Ctrl+kliknij)")</f>
        <v>(kliknij lub Ctrl+kliknij)</v>
      </c>
      <c r="H1033" s="0" t="s">
        <v>867</v>
      </c>
    </row>
    <row r="1034" customFormat="false" ht="12.8" hidden="false" customHeight="false" outlineLevel="0" collapsed="false">
      <c r="A1034" s="1" t="s">
        <v>569</v>
      </c>
      <c r="C1034" s="3" t="s">
        <v>584</v>
      </c>
      <c r="D1034" s="4" t="s">
        <v>571</v>
      </c>
      <c r="F1034" s="6" t="s">
        <v>585</v>
      </c>
      <c r="G1034" s="7" t="str">
        <f aca="false">HYPERLINK(CONCATENATE("http://crfop.gdos.gov.pl/CRFOP/widok/viewpomnikprzyrody.jsf?fop=","PL.ZIPOP.1393.PP.1014102.1743"),"(kliknij lub Ctrl+kliknij)")</f>
        <v>(kliknij lub Ctrl+kliknij)</v>
      </c>
      <c r="H1034" s="0" t="s">
        <v>867</v>
      </c>
    </row>
    <row r="1035" customFormat="false" ht="12.8" hidden="false" customHeight="false" outlineLevel="0" collapsed="false">
      <c r="A1035" s="1" t="s">
        <v>569</v>
      </c>
      <c r="C1035" s="3" t="s">
        <v>584</v>
      </c>
      <c r="D1035" s="4" t="s">
        <v>571</v>
      </c>
      <c r="F1035" s="6" t="s">
        <v>585</v>
      </c>
      <c r="G1035" s="7" t="str">
        <f aca="false">HYPERLINK(CONCATENATE("http://crfop.gdos.gov.pl/CRFOP/widok/viewpomnikprzyrody.jsf?fop=","PL.ZIPOP.1393.PP.1014102.1745"),"(kliknij lub Ctrl+kliknij)")</f>
        <v>(kliknij lub Ctrl+kliknij)</v>
      </c>
      <c r="H1035" s="0" t="s">
        <v>867</v>
      </c>
    </row>
    <row r="1036" customFormat="false" ht="12.8" hidden="false" customHeight="false" outlineLevel="0" collapsed="false">
      <c r="A1036" s="1" t="s">
        <v>569</v>
      </c>
      <c r="C1036" s="3" t="s">
        <v>584</v>
      </c>
      <c r="D1036" s="4" t="s">
        <v>571</v>
      </c>
      <c r="F1036" s="6" t="s">
        <v>585</v>
      </c>
      <c r="G1036" s="7" t="str">
        <f aca="false">HYPERLINK(CONCATENATE("http://crfop.gdos.gov.pl/CRFOP/widok/viewpomnikprzyrody.jsf?fop=","PL.ZIPOP.1393.PP.1014102.1746"),"(kliknij lub Ctrl+kliknij)")</f>
        <v>(kliknij lub Ctrl+kliknij)</v>
      </c>
      <c r="H1036" s="0" t="s">
        <v>867</v>
      </c>
    </row>
    <row r="1037" customFormat="false" ht="12.8" hidden="false" customHeight="false" outlineLevel="0" collapsed="false">
      <c r="A1037" s="1" t="s">
        <v>569</v>
      </c>
      <c r="C1037" s="3" t="s">
        <v>584</v>
      </c>
      <c r="D1037" s="4" t="s">
        <v>571</v>
      </c>
      <c r="F1037" s="6" t="s">
        <v>585</v>
      </c>
      <c r="G1037" s="7" t="str">
        <f aca="false">HYPERLINK(CONCATENATE("http://crfop.gdos.gov.pl/CRFOP/widok/viewpomnikprzyrody.jsf?fop=","PL.ZIPOP.1393.PP.1014102.1747"),"(kliknij lub Ctrl+kliknij)")</f>
        <v>(kliknij lub Ctrl+kliknij)</v>
      </c>
      <c r="H1037" s="0" t="s">
        <v>867</v>
      </c>
    </row>
    <row r="1038" customFormat="false" ht="12.8" hidden="false" customHeight="false" outlineLevel="0" collapsed="false">
      <c r="A1038" s="1" t="s">
        <v>569</v>
      </c>
      <c r="C1038" s="3" t="s">
        <v>584</v>
      </c>
      <c r="D1038" s="4" t="s">
        <v>571</v>
      </c>
      <c r="F1038" s="6" t="s">
        <v>585</v>
      </c>
      <c r="G1038" s="7" t="str">
        <f aca="false">HYPERLINK(CONCATENATE("http://crfop.gdos.gov.pl/CRFOP/widok/viewpomnikprzyrody.jsf?fop=","PL.ZIPOP.1393.PP.1014102.1748"),"(kliknij lub Ctrl+kliknij)")</f>
        <v>(kliknij lub Ctrl+kliknij)</v>
      </c>
      <c r="H1038" s="0" t="s">
        <v>867</v>
      </c>
    </row>
    <row r="1039" customFormat="false" ht="12.8" hidden="false" customHeight="false" outlineLevel="0" collapsed="false">
      <c r="A1039" s="1" t="s">
        <v>569</v>
      </c>
      <c r="C1039" s="3" t="s">
        <v>584</v>
      </c>
      <c r="D1039" s="4" t="s">
        <v>571</v>
      </c>
      <c r="F1039" s="6" t="s">
        <v>585</v>
      </c>
      <c r="G1039" s="7" t="str">
        <f aca="false">HYPERLINK(CONCATENATE("http://crfop.gdos.gov.pl/CRFOP/widok/viewpomnikprzyrody.jsf?fop=","PL.ZIPOP.1393.PP.1014102.1749"),"(kliknij lub Ctrl+kliknij)")</f>
        <v>(kliknij lub Ctrl+kliknij)</v>
      </c>
      <c r="H1039" s="0" t="s">
        <v>867</v>
      </c>
    </row>
    <row r="1040" customFormat="false" ht="12.8" hidden="false" customHeight="false" outlineLevel="0" collapsed="false">
      <c r="A1040" s="1" t="s">
        <v>569</v>
      </c>
      <c r="C1040" s="3" t="s">
        <v>584</v>
      </c>
      <c r="D1040" s="4" t="s">
        <v>571</v>
      </c>
      <c r="F1040" s="6" t="s">
        <v>585</v>
      </c>
      <c r="G1040" s="7" t="str">
        <f aca="false">HYPERLINK(CONCATENATE("http://crfop.gdos.gov.pl/CRFOP/widok/viewpomnikprzyrody.jsf?fop=","PL.ZIPOP.1393.PP.1014102.1750"),"(kliknij lub Ctrl+kliknij)")</f>
        <v>(kliknij lub Ctrl+kliknij)</v>
      </c>
      <c r="H1040" s="0" t="s">
        <v>867</v>
      </c>
    </row>
    <row r="1041" customFormat="false" ht="12.8" hidden="false" customHeight="false" outlineLevel="0" collapsed="false">
      <c r="A1041" s="1" t="s">
        <v>569</v>
      </c>
      <c r="C1041" s="3" t="s">
        <v>584</v>
      </c>
      <c r="D1041" s="4" t="s">
        <v>571</v>
      </c>
      <c r="F1041" s="6" t="s">
        <v>585</v>
      </c>
      <c r="G1041" s="7" t="str">
        <f aca="false">HYPERLINK(CONCATENATE("http://crfop.gdos.gov.pl/CRFOP/widok/viewpomnikprzyrody.jsf?fop=","PL.ZIPOP.1393.PP.1014102.1751"),"(kliknij lub Ctrl+kliknij)")</f>
        <v>(kliknij lub Ctrl+kliknij)</v>
      </c>
      <c r="H1041" s="0" t="s">
        <v>867</v>
      </c>
    </row>
    <row r="1042" customFormat="false" ht="12.8" hidden="false" customHeight="false" outlineLevel="0" collapsed="false">
      <c r="A1042" s="1" t="s">
        <v>569</v>
      </c>
      <c r="C1042" s="3" t="s">
        <v>584</v>
      </c>
      <c r="D1042" s="4" t="s">
        <v>571</v>
      </c>
      <c r="F1042" s="6" t="s">
        <v>585</v>
      </c>
      <c r="G1042" s="7" t="str">
        <f aca="false">HYPERLINK(CONCATENATE("http://crfop.gdos.gov.pl/CRFOP/widok/viewpomnikprzyrody.jsf?fop=","PL.ZIPOP.1393.PP.1014102.1752"),"(kliknij lub Ctrl+kliknij)")</f>
        <v>(kliknij lub Ctrl+kliknij)</v>
      </c>
      <c r="H1042" s="0" t="s">
        <v>867</v>
      </c>
    </row>
    <row r="1043" customFormat="false" ht="12.8" hidden="false" customHeight="false" outlineLevel="0" collapsed="false">
      <c r="A1043" s="1" t="s">
        <v>569</v>
      </c>
      <c r="C1043" s="3" t="s">
        <v>584</v>
      </c>
      <c r="D1043" s="4" t="s">
        <v>571</v>
      </c>
      <c r="F1043" s="6" t="s">
        <v>585</v>
      </c>
      <c r="G1043" s="7" t="str">
        <f aca="false">HYPERLINK(CONCATENATE("http://crfop.gdos.gov.pl/CRFOP/widok/viewpomnikprzyrody.jsf?fop=","PL.ZIPOP.1393.PP.1014102.1753"),"(kliknij lub Ctrl+kliknij)")</f>
        <v>(kliknij lub Ctrl+kliknij)</v>
      </c>
      <c r="H1043" s="0" t="s">
        <v>867</v>
      </c>
    </row>
    <row r="1044" customFormat="false" ht="12.8" hidden="false" customHeight="false" outlineLevel="0" collapsed="false">
      <c r="A1044" s="1" t="s">
        <v>569</v>
      </c>
      <c r="C1044" s="3" t="s">
        <v>584</v>
      </c>
      <c r="D1044" s="4" t="s">
        <v>571</v>
      </c>
      <c r="F1044" s="6" t="s">
        <v>585</v>
      </c>
      <c r="G1044" s="7" t="str">
        <f aca="false">HYPERLINK(CONCATENATE("http://crfop.gdos.gov.pl/CRFOP/widok/viewpomnikprzyrody.jsf?fop=","PL.ZIPOP.1393.PP.1014102.1754"),"(kliknij lub Ctrl+kliknij)")</f>
        <v>(kliknij lub Ctrl+kliknij)</v>
      </c>
      <c r="H1044" s="0" t="s">
        <v>867</v>
      </c>
    </row>
    <row r="1045" customFormat="false" ht="12.8" hidden="false" customHeight="false" outlineLevel="0" collapsed="false">
      <c r="A1045" s="1" t="s">
        <v>569</v>
      </c>
      <c r="C1045" s="3" t="s">
        <v>584</v>
      </c>
      <c r="D1045" s="4" t="s">
        <v>571</v>
      </c>
      <c r="F1045" s="6" t="s">
        <v>585</v>
      </c>
      <c r="G1045" s="7" t="str">
        <f aca="false">HYPERLINK(CONCATENATE("http://crfop.gdos.gov.pl/CRFOP/widok/viewpomnikprzyrody.jsf?fop=","PL.ZIPOP.1393.PP.1014102.1756"),"(kliknij lub Ctrl+kliknij)")</f>
        <v>(kliknij lub Ctrl+kliknij)</v>
      </c>
      <c r="H1045" s="0" t="s">
        <v>867</v>
      </c>
    </row>
    <row r="1046" customFormat="false" ht="12.8" hidden="false" customHeight="false" outlineLevel="0" collapsed="false">
      <c r="A1046" s="1" t="s">
        <v>569</v>
      </c>
      <c r="C1046" s="3" t="s">
        <v>584</v>
      </c>
      <c r="D1046" s="4" t="s">
        <v>571</v>
      </c>
      <c r="F1046" s="6" t="s">
        <v>585</v>
      </c>
      <c r="G1046" s="7" t="str">
        <f aca="false">HYPERLINK(CONCATENATE("http://crfop.gdos.gov.pl/CRFOP/widok/viewpomnikprzyrody.jsf?fop=","PL.ZIPOP.1393.PP.1014102.1757"),"(kliknij lub Ctrl+kliknij)")</f>
        <v>(kliknij lub Ctrl+kliknij)</v>
      </c>
      <c r="H1046" s="0" t="s">
        <v>867</v>
      </c>
    </row>
    <row r="1047" customFormat="false" ht="12.8" hidden="false" customHeight="false" outlineLevel="0" collapsed="false">
      <c r="A1047" s="1" t="s">
        <v>569</v>
      </c>
      <c r="C1047" s="3" t="s">
        <v>584</v>
      </c>
      <c r="D1047" s="4" t="s">
        <v>571</v>
      </c>
      <c r="F1047" s="6" t="s">
        <v>585</v>
      </c>
      <c r="G1047" s="7" t="str">
        <f aca="false">HYPERLINK(CONCATENATE("http://crfop.gdos.gov.pl/CRFOP/widok/viewpomnikprzyrody.jsf?fop=","PL.ZIPOP.1393.PP.1014102.1758"),"(kliknij lub Ctrl+kliknij)")</f>
        <v>(kliknij lub Ctrl+kliknij)</v>
      </c>
      <c r="H1047" s="0" t="s">
        <v>867</v>
      </c>
    </row>
    <row r="1048" customFormat="false" ht="12.8" hidden="false" customHeight="false" outlineLevel="0" collapsed="false">
      <c r="A1048" s="1" t="s">
        <v>569</v>
      </c>
      <c r="C1048" s="3" t="s">
        <v>584</v>
      </c>
      <c r="D1048" s="4" t="s">
        <v>571</v>
      </c>
      <c r="F1048" s="6" t="s">
        <v>585</v>
      </c>
      <c r="G1048" s="7" t="str">
        <f aca="false">HYPERLINK(CONCATENATE("http://crfop.gdos.gov.pl/CRFOP/widok/viewpomnikprzyrody.jsf?fop=","PL.ZIPOP.1393.PP.1014102.1759"),"(kliknij lub Ctrl+kliknij)")</f>
        <v>(kliknij lub Ctrl+kliknij)</v>
      </c>
      <c r="H1048" s="0" t="s">
        <v>867</v>
      </c>
    </row>
    <row r="1049" customFormat="false" ht="12.8" hidden="false" customHeight="false" outlineLevel="0" collapsed="false">
      <c r="A1049" s="1" t="s">
        <v>569</v>
      </c>
      <c r="C1049" s="3" t="s">
        <v>582</v>
      </c>
      <c r="D1049" s="4" t="s">
        <v>571</v>
      </c>
      <c r="F1049" s="6" t="s">
        <v>774</v>
      </c>
      <c r="G1049" s="7" t="str">
        <f aca="false">HYPERLINK(CONCATENATE("http://crfop.gdos.gov.pl/CRFOP/widok/viewpomnikprzyrody.jsf?fop=","PL.ZIPOP.1393.PP.1014102.1760"),"(kliknij lub Ctrl+kliknij)")</f>
        <v>(kliknij lub Ctrl+kliknij)</v>
      </c>
      <c r="H1049" s="0" t="s">
        <v>867</v>
      </c>
    </row>
    <row r="1050" customFormat="false" ht="12.8" hidden="false" customHeight="false" outlineLevel="0" collapsed="false">
      <c r="A1050" s="1" t="s">
        <v>569</v>
      </c>
      <c r="C1050" s="3" t="s">
        <v>584</v>
      </c>
      <c r="D1050" s="4" t="s">
        <v>571</v>
      </c>
      <c r="F1050" s="6" t="s">
        <v>585</v>
      </c>
      <c r="G1050" s="7" t="str">
        <f aca="false">HYPERLINK(CONCATENATE("http://crfop.gdos.gov.pl/CRFOP/widok/viewpomnikprzyrody.jsf?fop=","PL.ZIPOP.1393.PP.1014113.1776"),"(kliknij lub Ctrl+kliknij)")</f>
        <v>(kliknij lub Ctrl+kliknij)</v>
      </c>
      <c r="H1050" s="0" t="s">
        <v>868</v>
      </c>
    </row>
    <row r="1051" customFormat="false" ht="12.8" hidden="false" customHeight="false" outlineLevel="0" collapsed="false">
      <c r="A1051" s="1" t="s">
        <v>569</v>
      </c>
      <c r="C1051" s="3" t="s">
        <v>584</v>
      </c>
      <c r="D1051" s="4" t="s">
        <v>571</v>
      </c>
      <c r="F1051" s="6" t="s">
        <v>585</v>
      </c>
      <c r="G1051" s="7" t="str">
        <f aca="false">HYPERLINK(CONCATENATE("http://crfop.gdos.gov.pl/CRFOP/widok/viewpomnikprzyrody.jsf?fop=","PL.ZIPOP.1393.PP.1014113.1777"),"(kliknij lub Ctrl+kliknij)")</f>
        <v>(kliknij lub Ctrl+kliknij)</v>
      </c>
      <c r="H1051" s="0" t="s">
        <v>868</v>
      </c>
    </row>
    <row r="1052" customFormat="false" ht="12.8" hidden="false" customHeight="false" outlineLevel="0" collapsed="false">
      <c r="A1052" s="1" t="s">
        <v>569</v>
      </c>
      <c r="C1052" s="3" t="s">
        <v>584</v>
      </c>
      <c r="D1052" s="4" t="s">
        <v>571</v>
      </c>
      <c r="F1052" s="6" t="s">
        <v>585</v>
      </c>
      <c r="G1052" s="7" t="str">
        <f aca="false">HYPERLINK(CONCATENATE("http://crfop.gdos.gov.pl/CRFOP/widok/viewpomnikprzyrody.jsf?fop=","PL.ZIPOP.1393.PP.1014113.1782"),"(kliknij lub Ctrl+kliknij)")</f>
        <v>(kliknij lub Ctrl+kliknij)</v>
      </c>
      <c r="H1052" s="0" t="s">
        <v>868</v>
      </c>
    </row>
    <row r="1053" customFormat="false" ht="12.8" hidden="false" customHeight="false" outlineLevel="0" collapsed="false">
      <c r="A1053" s="1" t="s">
        <v>569</v>
      </c>
      <c r="C1053" s="3" t="s">
        <v>584</v>
      </c>
      <c r="D1053" s="4" t="s">
        <v>571</v>
      </c>
      <c r="F1053" s="6" t="s">
        <v>585</v>
      </c>
      <c r="G1053" s="7" t="str">
        <f aca="false">HYPERLINK(CONCATENATE("http://crfop.gdos.gov.pl/CRFOP/widok/viewpomnikprzyrody.jsf?fop=","PL.ZIPOP.1393.PP.1014113.1783"),"(kliknij lub Ctrl+kliknij)")</f>
        <v>(kliknij lub Ctrl+kliknij)</v>
      </c>
      <c r="H1053" s="0" t="s">
        <v>868</v>
      </c>
    </row>
    <row r="1054" customFormat="false" ht="12.8" hidden="false" customHeight="false" outlineLevel="0" collapsed="false">
      <c r="A1054" s="1" t="s">
        <v>569</v>
      </c>
      <c r="C1054" s="3" t="s">
        <v>584</v>
      </c>
      <c r="D1054" s="4" t="s">
        <v>571</v>
      </c>
      <c r="F1054" s="6" t="s">
        <v>585</v>
      </c>
      <c r="G1054" s="7" t="str">
        <f aca="false">HYPERLINK(CONCATENATE("http://crfop.gdos.gov.pl/CRFOP/widok/viewpomnikprzyrody.jsf?fop=","PL.ZIPOP.1393.PP.1014113.1784"),"(kliknij lub Ctrl+kliknij)")</f>
        <v>(kliknij lub Ctrl+kliknij)</v>
      </c>
      <c r="H1054" s="0" t="s">
        <v>868</v>
      </c>
    </row>
    <row r="1055" customFormat="false" ht="12.8" hidden="false" customHeight="false" outlineLevel="0" collapsed="false">
      <c r="A1055" s="1" t="s">
        <v>569</v>
      </c>
      <c r="C1055" s="3" t="s">
        <v>584</v>
      </c>
      <c r="D1055" s="4" t="s">
        <v>571</v>
      </c>
      <c r="F1055" s="6" t="s">
        <v>585</v>
      </c>
      <c r="G1055" s="7" t="str">
        <f aca="false">HYPERLINK(CONCATENATE("http://crfop.gdos.gov.pl/CRFOP/widok/viewpomnikprzyrody.jsf?fop=","PL.ZIPOP.1393.PP.1014113.1786"),"(kliknij lub Ctrl+kliknij)")</f>
        <v>(kliknij lub Ctrl+kliknij)</v>
      </c>
      <c r="H1055" s="0" t="s">
        <v>868</v>
      </c>
    </row>
    <row r="1056" customFormat="false" ht="12.8" hidden="false" customHeight="false" outlineLevel="0" collapsed="false">
      <c r="A1056" s="1" t="s">
        <v>569</v>
      </c>
      <c r="C1056" s="3" t="s">
        <v>705</v>
      </c>
      <c r="D1056" s="4" t="s">
        <v>571</v>
      </c>
      <c r="F1056" s="6" t="s">
        <v>706</v>
      </c>
      <c r="G1056" s="7" t="str">
        <f aca="false">HYPERLINK(CONCATENATE("http://crfop.gdos.gov.pl/CRFOP/widok/viewpomnikprzyrody.jsf?fop=","PL.ZIPOP.1393.PP.1015012.1117"),"(kliknij lub Ctrl+kliknij)")</f>
        <v>(kliknij lub Ctrl+kliknij)</v>
      </c>
      <c r="H1056" s="0" t="s">
        <v>869</v>
      </c>
    </row>
    <row r="1057" customFormat="false" ht="12.8" hidden="false" customHeight="false" outlineLevel="0" collapsed="false">
      <c r="A1057" s="1" t="s">
        <v>569</v>
      </c>
      <c r="C1057" s="3" t="s">
        <v>705</v>
      </c>
      <c r="D1057" s="4" t="s">
        <v>571</v>
      </c>
      <c r="F1057" s="6" t="s">
        <v>706</v>
      </c>
      <c r="G1057" s="7" t="str">
        <f aca="false">HYPERLINK(CONCATENATE("http://crfop.gdos.gov.pl/CRFOP/widok/viewpomnikprzyrody.jsf?fop=","PL.ZIPOP.1393.PP.1015012.1118"),"(kliknij lub Ctrl+kliknij)")</f>
        <v>(kliknij lub Ctrl+kliknij)</v>
      </c>
      <c r="H1057" s="0" t="s">
        <v>869</v>
      </c>
    </row>
    <row r="1058" customFormat="false" ht="12.8" hidden="false" customHeight="false" outlineLevel="0" collapsed="false">
      <c r="A1058" s="1" t="s">
        <v>569</v>
      </c>
      <c r="C1058" s="3" t="s">
        <v>705</v>
      </c>
      <c r="D1058" s="4" t="s">
        <v>571</v>
      </c>
      <c r="F1058" s="6" t="s">
        <v>706</v>
      </c>
      <c r="G1058" s="7" t="str">
        <f aca="false">HYPERLINK(CONCATENATE("http://crfop.gdos.gov.pl/CRFOP/widok/viewpomnikprzyrody.jsf?fop=","PL.ZIPOP.1393.PP.1015012.1119"),"(kliknij lub Ctrl+kliknij)")</f>
        <v>(kliknij lub Ctrl+kliknij)</v>
      </c>
      <c r="H1058" s="0" t="s">
        <v>869</v>
      </c>
    </row>
    <row r="1059" customFormat="false" ht="12.8" hidden="false" customHeight="false" outlineLevel="0" collapsed="false">
      <c r="A1059" s="1" t="s">
        <v>569</v>
      </c>
      <c r="C1059" s="3" t="s">
        <v>705</v>
      </c>
      <c r="D1059" s="4" t="s">
        <v>571</v>
      </c>
      <c r="F1059" s="6" t="s">
        <v>706</v>
      </c>
      <c r="G1059" s="7" t="str">
        <f aca="false">HYPERLINK(CONCATENATE("http://crfop.gdos.gov.pl/CRFOP/widok/viewpomnikprzyrody.jsf?fop=","PL.ZIPOP.1393.PP.1015012.1120"),"(kliknij lub Ctrl+kliknij)")</f>
        <v>(kliknij lub Ctrl+kliknij)</v>
      </c>
      <c r="H1059" s="0" t="s">
        <v>869</v>
      </c>
    </row>
    <row r="1060" customFormat="false" ht="12.8" hidden="false" customHeight="false" outlineLevel="0" collapsed="false">
      <c r="A1060" s="1" t="s">
        <v>569</v>
      </c>
      <c r="C1060" s="3" t="s">
        <v>705</v>
      </c>
      <c r="D1060" s="4" t="s">
        <v>571</v>
      </c>
      <c r="F1060" s="6" t="s">
        <v>706</v>
      </c>
      <c r="G1060" s="7" t="str">
        <f aca="false">HYPERLINK(CONCATENATE("http://crfop.gdos.gov.pl/CRFOP/widok/viewpomnikprzyrody.jsf?fop=","PL.ZIPOP.1393.PP.1015012.1121"),"(kliknij lub Ctrl+kliknij)")</f>
        <v>(kliknij lub Ctrl+kliknij)</v>
      </c>
      <c r="H1060" s="0" t="s">
        <v>869</v>
      </c>
    </row>
    <row r="1061" customFormat="false" ht="12.8" hidden="false" customHeight="false" outlineLevel="0" collapsed="false">
      <c r="A1061" s="1" t="s">
        <v>569</v>
      </c>
      <c r="C1061" s="3" t="s">
        <v>705</v>
      </c>
      <c r="D1061" s="4" t="s">
        <v>571</v>
      </c>
      <c r="F1061" s="6" t="s">
        <v>706</v>
      </c>
      <c r="G1061" s="7" t="str">
        <f aca="false">HYPERLINK(CONCATENATE("http://crfop.gdos.gov.pl/CRFOP/widok/viewpomnikprzyrody.jsf?fop=","PL.ZIPOP.1393.PP.1015012.1122"),"(kliknij lub Ctrl+kliknij)")</f>
        <v>(kliknij lub Ctrl+kliknij)</v>
      </c>
      <c r="H1061" s="0" t="s">
        <v>869</v>
      </c>
    </row>
    <row r="1062" customFormat="false" ht="12.8" hidden="false" customHeight="false" outlineLevel="0" collapsed="false">
      <c r="A1062" s="1" t="s">
        <v>569</v>
      </c>
      <c r="C1062" s="3" t="s">
        <v>840</v>
      </c>
      <c r="D1062" s="4" t="s">
        <v>571</v>
      </c>
      <c r="F1062" s="6" t="s">
        <v>841</v>
      </c>
      <c r="G1062" s="7" t="str">
        <f aca="false">HYPERLINK(CONCATENATE("http://crfop.gdos.gov.pl/CRFOP/widok/viewpomnikprzyrody.jsf?fop=","PL.ZIPOP.1393.PP.1015012.1123"),"(kliknij lub Ctrl+kliknij)")</f>
        <v>(kliknij lub Ctrl+kliknij)</v>
      </c>
      <c r="H1062" s="0" t="s">
        <v>869</v>
      </c>
    </row>
    <row r="1063" customFormat="false" ht="12.8" hidden="false" customHeight="false" outlineLevel="0" collapsed="false">
      <c r="A1063" s="1" t="s">
        <v>569</v>
      </c>
      <c r="C1063" s="3" t="s">
        <v>840</v>
      </c>
      <c r="D1063" s="4" t="s">
        <v>571</v>
      </c>
      <c r="F1063" s="6" t="s">
        <v>841</v>
      </c>
      <c r="G1063" s="7" t="str">
        <f aca="false">HYPERLINK(CONCATENATE("http://crfop.gdos.gov.pl/CRFOP/widok/viewpomnikprzyrody.jsf?fop=","PL.ZIPOP.1393.PP.1015012.1124"),"(kliknij lub Ctrl+kliknij)")</f>
        <v>(kliknij lub Ctrl+kliknij)</v>
      </c>
      <c r="H1063" s="0" t="s">
        <v>869</v>
      </c>
    </row>
    <row r="1064" customFormat="false" ht="12.8" hidden="false" customHeight="false" outlineLevel="0" collapsed="false">
      <c r="A1064" s="1" t="s">
        <v>569</v>
      </c>
      <c r="C1064" s="3" t="s">
        <v>687</v>
      </c>
      <c r="D1064" s="4" t="s">
        <v>571</v>
      </c>
      <c r="F1064" s="6" t="s">
        <v>688</v>
      </c>
      <c r="G1064" s="7" t="str">
        <f aca="false">HYPERLINK(CONCATENATE("http://crfop.gdos.gov.pl/CRFOP/widok/viewpomnikprzyrody.jsf?fop=","PL.ZIPOP.1393.PP.1015012.1128"),"(kliknij lub Ctrl+kliknij)")</f>
        <v>(kliknij lub Ctrl+kliknij)</v>
      </c>
      <c r="H1064" s="0" t="s">
        <v>869</v>
      </c>
    </row>
    <row r="1065" customFormat="false" ht="12.8" hidden="false" customHeight="false" outlineLevel="0" collapsed="false">
      <c r="A1065" s="1" t="s">
        <v>569</v>
      </c>
      <c r="C1065" s="3" t="s">
        <v>687</v>
      </c>
      <c r="D1065" s="4" t="s">
        <v>571</v>
      </c>
      <c r="F1065" s="6" t="s">
        <v>688</v>
      </c>
      <c r="G1065" s="7" t="str">
        <f aca="false">HYPERLINK(CONCATENATE("http://crfop.gdos.gov.pl/CRFOP/widok/viewpomnikprzyrody.jsf?fop=","PL.ZIPOP.1393.PP.1015012.1130"),"(kliknij lub Ctrl+kliknij)")</f>
        <v>(kliknij lub Ctrl+kliknij)</v>
      </c>
      <c r="H1065" s="0" t="s">
        <v>869</v>
      </c>
    </row>
    <row r="1066" customFormat="false" ht="12.8" hidden="false" customHeight="false" outlineLevel="0" collapsed="false">
      <c r="A1066" s="1" t="s">
        <v>569</v>
      </c>
      <c r="C1066" s="3" t="s">
        <v>687</v>
      </c>
      <c r="D1066" s="4" t="s">
        <v>571</v>
      </c>
      <c r="F1066" s="6" t="s">
        <v>688</v>
      </c>
      <c r="G1066" s="7" t="str">
        <f aca="false">HYPERLINK(CONCATENATE("http://crfop.gdos.gov.pl/CRFOP/widok/viewpomnikprzyrody.jsf?fop=","PL.ZIPOP.1393.PP.1015012.1131"),"(kliknij lub Ctrl+kliknij)")</f>
        <v>(kliknij lub Ctrl+kliknij)</v>
      </c>
      <c r="H1066" s="0" t="s">
        <v>869</v>
      </c>
    </row>
    <row r="1067" customFormat="false" ht="12.8" hidden="false" customHeight="false" outlineLevel="0" collapsed="false">
      <c r="A1067" s="1" t="s">
        <v>569</v>
      </c>
      <c r="C1067" s="3" t="s">
        <v>687</v>
      </c>
      <c r="D1067" s="4" t="s">
        <v>571</v>
      </c>
      <c r="F1067" s="6" t="s">
        <v>688</v>
      </c>
      <c r="G1067" s="7" t="str">
        <f aca="false">HYPERLINK(CONCATENATE("http://crfop.gdos.gov.pl/CRFOP/widok/viewpomnikprzyrody.jsf?fop=","PL.ZIPOP.1393.PP.1015012.1132"),"(kliknij lub Ctrl+kliknij)")</f>
        <v>(kliknij lub Ctrl+kliknij)</v>
      </c>
      <c r="H1067" s="0" t="s">
        <v>869</v>
      </c>
    </row>
    <row r="1068" customFormat="false" ht="12.8" hidden="false" customHeight="false" outlineLevel="0" collapsed="false">
      <c r="A1068" s="1" t="s">
        <v>569</v>
      </c>
      <c r="C1068" s="3" t="s">
        <v>687</v>
      </c>
      <c r="D1068" s="4" t="s">
        <v>571</v>
      </c>
      <c r="F1068" s="6" t="s">
        <v>688</v>
      </c>
      <c r="G1068" s="7" t="str">
        <f aca="false">HYPERLINK(CONCATENATE("http://crfop.gdos.gov.pl/CRFOP/widok/viewpomnikprzyrody.jsf?fop=","PL.ZIPOP.1393.PP.1015012.1133"),"(kliknij lub Ctrl+kliknij)")</f>
        <v>(kliknij lub Ctrl+kliknij)</v>
      </c>
      <c r="H1068" s="0" t="s">
        <v>869</v>
      </c>
    </row>
    <row r="1069" customFormat="false" ht="12.8" hidden="false" customHeight="false" outlineLevel="0" collapsed="false">
      <c r="A1069" s="1" t="s">
        <v>569</v>
      </c>
      <c r="C1069" s="3" t="s">
        <v>705</v>
      </c>
      <c r="D1069" s="4" t="s">
        <v>571</v>
      </c>
      <c r="F1069" s="6" t="s">
        <v>706</v>
      </c>
      <c r="G1069" s="7" t="str">
        <f aca="false">HYPERLINK(CONCATENATE("http://crfop.gdos.gov.pl/CRFOP/widok/viewpomnikprzyrody.jsf?fop=","PL.ZIPOP.1393.PP.1015012.1136"),"(kliknij lub Ctrl+kliknij)")</f>
        <v>(kliknij lub Ctrl+kliknij)</v>
      </c>
      <c r="H1069" s="0" t="s">
        <v>869</v>
      </c>
    </row>
    <row r="1070" customFormat="false" ht="12.8" hidden="false" customHeight="false" outlineLevel="0" collapsed="false">
      <c r="A1070" s="1" t="s">
        <v>569</v>
      </c>
      <c r="C1070" s="3" t="s">
        <v>705</v>
      </c>
      <c r="D1070" s="4" t="s">
        <v>571</v>
      </c>
      <c r="F1070" s="6" t="s">
        <v>706</v>
      </c>
      <c r="G1070" s="7" t="str">
        <f aca="false">HYPERLINK(CONCATENATE("http://crfop.gdos.gov.pl/CRFOP/widok/viewpomnikprzyrody.jsf?fop=","PL.ZIPOP.1393.PP.1015012.1137"),"(kliknij lub Ctrl+kliknij)")</f>
        <v>(kliknij lub Ctrl+kliknij)</v>
      </c>
      <c r="H1070" s="0" t="s">
        <v>869</v>
      </c>
    </row>
    <row r="1071" customFormat="false" ht="12.8" hidden="false" customHeight="false" outlineLevel="0" collapsed="false">
      <c r="A1071" s="1" t="s">
        <v>569</v>
      </c>
      <c r="C1071" s="3" t="s">
        <v>821</v>
      </c>
      <c r="D1071" s="4" t="s">
        <v>571</v>
      </c>
      <c r="F1071" s="6" t="s">
        <v>870</v>
      </c>
      <c r="G1071" s="7" t="str">
        <f aca="false">HYPERLINK(CONCATENATE("http://crfop.gdos.gov.pl/CRFOP/widok/viewpomnikprzyrody.jsf?fop=","PL.ZIPOP.1393.PP.1015012.1138"),"(kliknij lub Ctrl+kliknij)")</f>
        <v>(kliknij lub Ctrl+kliknij)</v>
      </c>
      <c r="H1071" s="0" t="s">
        <v>869</v>
      </c>
    </row>
    <row r="1072" customFormat="false" ht="12.8" hidden="false" customHeight="false" outlineLevel="0" collapsed="false">
      <c r="A1072" s="1" t="s">
        <v>569</v>
      </c>
      <c r="C1072" s="3" t="s">
        <v>871</v>
      </c>
      <c r="D1072" s="4" t="s">
        <v>571</v>
      </c>
      <c r="F1072" s="6" t="s">
        <v>688</v>
      </c>
      <c r="G1072" s="7" t="str">
        <f aca="false">HYPERLINK(CONCATENATE("http://crfop.gdos.gov.pl/CRFOP/widok/viewpomnikprzyrody.jsf?fop=","PL.ZIPOP.1393.PP.1015012.919"),"(kliknij lub Ctrl+kliknij)")</f>
        <v>(kliknij lub Ctrl+kliknij)</v>
      </c>
      <c r="H1072" s="0" t="s">
        <v>869</v>
      </c>
    </row>
    <row r="1073" customFormat="false" ht="12.8" hidden="false" customHeight="false" outlineLevel="0" collapsed="false">
      <c r="A1073" s="1" t="s">
        <v>569</v>
      </c>
      <c r="C1073" s="3" t="s">
        <v>872</v>
      </c>
      <c r="D1073" s="4" t="s">
        <v>571</v>
      </c>
      <c r="F1073" s="6" t="s">
        <v>873</v>
      </c>
      <c r="G1073" s="7" t="str">
        <f aca="false">HYPERLINK(CONCATENATE("http://crfop.gdos.gov.pl/CRFOP/widok/viewpomnikprzyrody.jsf?fop=","PL.ZIPOP.1393.PP.1015022.1086"),"(kliknij lub Ctrl+kliknij)")</f>
        <v>(kliknij lub Ctrl+kliknij)</v>
      </c>
      <c r="H1073" s="0" t="s">
        <v>874</v>
      </c>
    </row>
    <row r="1074" customFormat="false" ht="12.8" hidden="false" customHeight="false" outlineLevel="0" collapsed="false">
      <c r="A1074" s="1" t="s">
        <v>569</v>
      </c>
      <c r="C1074" s="3" t="s">
        <v>872</v>
      </c>
      <c r="D1074" s="4" t="s">
        <v>571</v>
      </c>
      <c r="F1074" s="6" t="s">
        <v>873</v>
      </c>
      <c r="G1074" s="7" t="str">
        <f aca="false">HYPERLINK(CONCATENATE("http://crfop.gdos.gov.pl/CRFOP/widok/viewpomnikprzyrody.jsf?fop=","PL.ZIPOP.1393.PP.1015022.1087"),"(kliknij lub Ctrl+kliknij)")</f>
        <v>(kliknij lub Ctrl+kliknij)</v>
      </c>
      <c r="H1074" s="0" t="s">
        <v>874</v>
      </c>
    </row>
    <row r="1075" customFormat="false" ht="12.8" hidden="false" customHeight="false" outlineLevel="0" collapsed="false">
      <c r="A1075" s="1" t="s">
        <v>569</v>
      </c>
      <c r="C1075" s="3" t="s">
        <v>872</v>
      </c>
      <c r="D1075" s="4" t="s">
        <v>571</v>
      </c>
      <c r="F1075" s="6" t="s">
        <v>873</v>
      </c>
      <c r="G1075" s="7" t="str">
        <f aca="false">HYPERLINK(CONCATENATE("http://crfop.gdos.gov.pl/CRFOP/widok/viewpomnikprzyrody.jsf?fop=","PL.ZIPOP.1393.PP.1015022.1088"),"(kliknij lub Ctrl+kliknij)")</f>
        <v>(kliknij lub Ctrl+kliknij)</v>
      </c>
      <c r="H1075" s="0" t="s">
        <v>874</v>
      </c>
    </row>
    <row r="1076" customFormat="false" ht="12.8" hidden="false" customHeight="false" outlineLevel="0" collapsed="false">
      <c r="A1076" s="1" t="s">
        <v>569</v>
      </c>
      <c r="C1076" s="3" t="s">
        <v>875</v>
      </c>
      <c r="D1076" s="4" t="s">
        <v>571</v>
      </c>
      <c r="F1076" s="6" t="s">
        <v>876</v>
      </c>
      <c r="G1076" s="7" t="str">
        <f aca="false">HYPERLINK(CONCATENATE("http://crfop.gdos.gov.pl/CRFOP/widok/viewpomnikprzyrody.jsf?fop=","PL.ZIPOP.1393.PP.1015022.1091"),"(kliknij lub Ctrl+kliknij)")</f>
        <v>(kliknij lub Ctrl+kliknij)</v>
      </c>
      <c r="H1076" s="0" t="s">
        <v>874</v>
      </c>
    </row>
    <row r="1077" customFormat="false" ht="12.8" hidden="false" customHeight="false" outlineLevel="0" collapsed="false">
      <c r="A1077" s="1" t="s">
        <v>569</v>
      </c>
      <c r="C1077" s="3" t="s">
        <v>702</v>
      </c>
      <c r="D1077" s="4" t="s">
        <v>571</v>
      </c>
      <c r="F1077" s="6" t="s">
        <v>703</v>
      </c>
      <c r="G1077" s="7" t="str">
        <f aca="false">HYPERLINK(CONCATENATE("http://crfop.gdos.gov.pl/CRFOP/widok/viewpomnikprzyrody.jsf?fop=","PL.ZIPOP.1393.PP.1015042.1064"),"(kliknij lub Ctrl+kliknij)")</f>
        <v>(kliknij lub Ctrl+kliknij)</v>
      </c>
      <c r="H1077" s="0" t="s">
        <v>877</v>
      </c>
    </row>
    <row r="1078" customFormat="false" ht="12.8" hidden="false" customHeight="false" outlineLevel="0" collapsed="false">
      <c r="A1078" s="1" t="s">
        <v>569</v>
      </c>
      <c r="C1078" s="3" t="s">
        <v>702</v>
      </c>
      <c r="D1078" s="4" t="s">
        <v>571</v>
      </c>
      <c r="F1078" s="6" t="s">
        <v>703</v>
      </c>
      <c r="G1078" s="7" t="str">
        <f aca="false">HYPERLINK(CONCATENATE("http://crfop.gdos.gov.pl/CRFOP/widok/viewpomnikprzyrody.jsf?fop=","PL.ZIPOP.1393.PP.1015042.1065"),"(kliknij lub Ctrl+kliknij)")</f>
        <v>(kliknij lub Ctrl+kliknij)</v>
      </c>
      <c r="H1078" s="0" t="s">
        <v>877</v>
      </c>
    </row>
    <row r="1079" customFormat="false" ht="12.8" hidden="false" customHeight="false" outlineLevel="0" collapsed="false">
      <c r="A1079" s="1" t="s">
        <v>569</v>
      </c>
      <c r="C1079" s="3" t="s">
        <v>702</v>
      </c>
      <c r="D1079" s="4" t="s">
        <v>571</v>
      </c>
      <c r="F1079" s="6" t="s">
        <v>703</v>
      </c>
      <c r="G1079" s="7" t="str">
        <f aca="false">HYPERLINK(CONCATENATE("http://crfop.gdos.gov.pl/CRFOP/widok/viewpomnikprzyrody.jsf?fop=","PL.ZIPOP.1393.PP.1015042.1066"),"(kliknij lub Ctrl+kliknij)")</f>
        <v>(kliknij lub Ctrl+kliknij)</v>
      </c>
      <c r="H1079" s="0" t="s">
        <v>877</v>
      </c>
    </row>
    <row r="1080" customFormat="false" ht="12.8" hidden="false" customHeight="false" outlineLevel="0" collapsed="false">
      <c r="A1080" s="1" t="s">
        <v>569</v>
      </c>
      <c r="C1080" s="3" t="s">
        <v>878</v>
      </c>
      <c r="D1080" s="4" t="s">
        <v>571</v>
      </c>
      <c r="F1080" s="6" t="s">
        <v>879</v>
      </c>
      <c r="G1080" s="7" t="str">
        <f aca="false">HYPERLINK(CONCATENATE("http://crfop.gdos.gov.pl/CRFOP/widok/viewpomnikprzyrody.jsf?fop=","PL.ZIPOP.1393.PP.1015042.1067"),"(kliknij lub Ctrl+kliknij)")</f>
        <v>(kliknij lub Ctrl+kliknij)</v>
      </c>
      <c r="H1080" s="0" t="s">
        <v>877</v>
      </c>
    </row>
    <row r="1081" customFormat="false" ht="12.8" hidden="false" customHeight="false" outlineLevel="0" collapsed="false">
      <c r="A1081" s="1" t="s">
        <v>569</v>
      </c>
      <c r="C1081" s="3" t="s">
        <v>702</v>
      </c>
      <c r="D1081" s="4" t="s">
        <v>571</v>
      </c>
      <c r="F1081" s="6" t="s">
        <v>703</v>
      </c>
      <c r="G1081" s="7" t="str">
        <f aca="false">HYPERLINK(CONCATENATE("http://crfop.gdos.gov.pl/CRFOP/widok/viewpomnikprzyrody.jsf?fop=","PL.ZIPOP.1393.PP.1015042.1068"),"(kliknij lub Ctrl+kliknij)")</f>
        <v>(kliknij lub Ctrl+kliknij)</v>
      </c>
      <c r="H1081" s="0" t="s">
        <v>877</v>
      </c>
    </row>
    <row r="1082" customFormat="false" ht="12.8" hidden="false" customHeight="false" outlineLevel="0" collapsed="false">
      <c r="A1082" s="1" t="s">
        <v>569</v>
      </c>
      <c r="C1082" s="3" t="s">
        <v>702</v>
      </c>
      <c r="D1082" s="4" t="s">
        <v>571</v>
      </c>
      <c r="F1082" s="6" t="s">
        <v>703</v>
      </c>
      <c r="G1082" s="7" t="str">
        <f aca="false">HYPERLINK(CONCATENATE("http://crfop.gdos.gov.pl/CRFOP/widok/viewpomnikprzyrody.jsf?fop=","PL.ZIPOP.1393.PP.1015042.1069"),"(kliknij lub Ctrl+kliknij)")</f>
        <v>(kliknij lub Ctrl+kliknij)</v>
      </c>
      <c r="H1082" s="0" t="s">
        <v>877</v>
      </c>
    </row>
    <row r="1083" customFormat="false" ht="12.8" hidden="false" customHeight="false" outlineLevel="0" collapsed="false">
      <c r="A1083" s="1" t="s">
        <v>569</v>
      </c>
      <c r="C1083" s="3" t="s">
        <v>702</v>
      </c>
      <c r="D1083" s="4" t="s">
        <v>571</v>
      </c>
      <c r="F1083" s="6" t="s">
        <v>703</v>
      </c>
      <c r="G1083" s="7" t="str">
        <f aca="false">HYPERLINK(CONCATENATE("http://crfop.gdos.gov.pl/CRFOP/widok/viewpomnikprzyrody.jsf?fop=","PL.ZIPOP.1393.PP.1015042.1070"),"(kliknij lub Ctrl+kliknij)")</f>
        <v>(kliknij lub Ctrl+kliknij)</v>
      </c>
      <c r="H1083" s="0" t="s">
        <v>877</v>
      </c>
    </row>
    <row r="1084" customFormat="false" ht="12.8" hidden="false" customHeight="false" outlineLevel="0" collapsed="false">
      <c r="A1084" s="1" t="s">
        <v>569</v>
      </c>
      <c r="C1084" s="3" t="s">
        <v>705</v>
      </c>
      <c r="D1084" s="4" t="s">
        <v>571</v>
      </c>
      <c r="F1084" s="6" t="s">
        <v>706</v>
      </c>
      <c r="G1084" s="7" t="str">
        <f aca="false">HYPERLINK(CONCATENATE("http://crfop.gdos.gov.pl/CRFOP/widok/viewpomnikprzyrody.jsf?fop=","PL.ZIPOP.1393.PP.1015042.1073"),"(kliknij lub Ctrl+kliknij)")</f>
        <v>(kliknij lub Ctrl+kliknij)</v>
      </c>
      <c r="H1084" s="0" t="s">
        <v>877</v>
      </c>
    </row>
    <row r="1085" customFormat="false" ht="12.8" hidden="false" customHeight="false" outlineLevel="0" collapsed="false">
      <c r="A1085" s="1" t="s">
        <v>569</v>
      </c>
      <c r="C1085" s="3" t="s">
        <v>705</v>
      </c>
      <c r="D1085" s="4" t="s">
        <v>571</v>
      </c>
      <c r="F1085" s="6" t="s">
        <v>706</v>
      </c>
      <c r="G1085" s="7" t="str">
        <f aca="false">HYPERLINK(CONCATENATE("http://crfop.gdos.gov.pl/CRFOP/widok/viewpomnikprzyrody.jsf?fop=","PL.ZIPOP.1393.PP.1015042.1074"),"(kliknij lub Ctrl+kliknij)")</f>
        <v>(kliknij lub Ctrl+kliknij)</v>
      </c>
      <c r="H1085" s="0" t="s">
        <v>877</v>
      </c>
    </row>
    <row r="1086" customFormat="false" ht="12.8" hidden="false" customHeight="false" outlineLevel="0" collapsed="false">
      <c r="A1086" s="1" t="s">
        <v>569</v>
      </c>
      <c r="C1086" s="3" t="s">
        <v>705</v>
      </c>
      <c r="D1086" s="4" t="s">
        <v>571</v>
      </c>
      <c r="F1086" s="6" t="s">
        <v>706</v>
      </c>
      <c r="G1086" s="7" t="str">
        <f aca="false">HYPERLINK(CONCATENATE("http://crfop.gdos.gov.pl/CRFOP/widok/viewpomnikprzyrody.jsf?fop=","PL.ZIPOP.1393.PP.1015042.1075"),"(kliknij lub Ctrl+kliknij)")</f>
        <v>(kliknij lub Ctrl+kliknij)</v>
      </c>
      <c r="H1086" s="0" t="s">
        <v>877</v>
      </c>
    </row>
    <row r="1087" customFormat="false" ht="12.8" hidden="false" customHeight="false" outlineLevel="0" collapsed="false">
      <c r="A1087" s="1" t="s">
        <v>569</v>
      </c>
      <c r="C1087" s="3" t="s">
        <v>705</v>
      </c>
      <c r="D1087" s="4" t="s">
        <v>571</v>
      </c>
      <c r="F1087" s="6" t="s">
        <v>706</v>
      </c>
      <c r="G1087" s="7" t="str">
        <f aca="false">HYPERLINK(CONCATENATE("http://crfop.gdos.gov.pl/CRFOP/widok/viewpomnikprzyrody.jsf?fop=","PL.ZIPOP.1393.PP.1015042.1076"),"(kliknij lub Ctrl+kliknij)")</f>
        <v>(kliknij lub Ctrl+kliknij)</v>
      </c>
      <c r="H1087" s="0" t="s">
        <v>877</v>
      </c>
    </row>
    <row r="1088" customFormat="false" ht="12.8" hidden="false" customHeight="false" outlineLevel="0" collapsed="false">
      <c r="A1088" s="1" t="s">
        <v>569</v>
      </c>
      <c r="C1088" s="3" t="s">
        <v>705</v>
      </c>
      <c r="D1088" s="4" t="s">
        <v>571</v>
      </c>
      <c r="F1088" s="6" t="s">
        <v>706</v>
      </c>
      <c r="G1088" s="7" t="str">
        <f aca="false">HYPERLINK(CONCATENATE("http://crfop.gdos.gov.pl/CRFOP/widok/viewpomnikprzyrody.jsf?fop=","PL.ZIPOP.1393.PP.1015042.1077"),"(kliknij lub Ctrl+kliknij)")</f>
        <v>(kliknij lub Ctrl+kliknij)</v>
      </c>
      <c r="H1088" s="0" t="s">
        <v>877</v>
      </c>
    </row>
    <row r="1089" customFormat="false" ht="12.8" hidden="false" customHeight="false" outlineLevel="0" collapsed="false">
      <c r="A1089" s="1" t="s">
        <v>569</v>
      </c>
      <c r="C1089" s="3" t="s">
        <v>705</v>
      </c>
      <c r="D1089" s="4" t="s">
        <v>571</v>
      </c>
      <c r="F1089" s="6" t="s">
        <v>706</v>
      </c>
      <c r="G1089" s="7" t="str">
        <f aca="false">HYPERLINK(CONCATENATE("http://crfop.gdos.gov.pl/CRFOP/widok/viewpomnikprzyrody.jsf?fop=","PL.ZIPOP.1393.PP.1015042.1078"),"(kliknij lub Ctrl+kliknij)")</f>
        <v>(kliknij lub Ctrl+kliknij)</v>
      </c>
      <c r="H1089" s="0" t="s">
        <v>877</v>
      </c>
    </row>
    <row r="1090" customFormat="false" ht="12.8" hidden="false" customHeight="false" outlineLevel="0" collapsed="false">
      <c r="A1090" s="1" t="s">
        <v>569</v>
      </c>
      <c r="C1090" s="3" t="s">
        <v>705</v>
      </c>
      <c r="D1090" s="4" t="s">
        <v>571</v>
      </c>
      <c r="F1090" s="6" t="s">
        <v>706</v>
      </c>
      <c r="G1090" s="7" t="str">
        <f aca="false">HYPERLINK(CONCATENATE("http://crfop.gdos.gov.pl/CRFOP/widok/viewpomnikprzyrody.jsf?fop=","PL.ZIPOP.1393.PP.1015042.1079"),"(kliknij lub Ctrl+kliknij)")</f>
        <v>(kliknij lub Ctrl+kliknij)</v>
      </c>
      <c r="H1090" s="0" t="s">
        <v>877</v>
      </c>
    </row>
    <row r="1091" customFormat="false" ht="12.8" hidden="false" customHeight="false" outlineLevel="0" collapsed="false">
      <c r="A1091" s="1" t="s">
        <v>569</v>
      </c>
      <c r="C1091" s="3" t="s">
        <v>702</v>
      </c>
      <c r="D1091" s="4" t="s">
        <v>571</v>
      </c>
      <c r="F1091" s="6" t="s">
        <v>703</v>
      </c>
      <c r="G1091" s="7" t="str">
        <f aca="false">HYPERLINK(CONCATENATE("http://crfop.gdos.gov.pl/CRFOP/widok/viewpomnikprzyrody.jsf?fop=","PL.ZIPOP.1393.PP.1015042.1080"),"(kliknij lub Ctrl+kliknij)")</f>
        <v>(kliknij lub Ctrl+kliknij)</v>
      </c>
      <c r="H1091" s="0" t="s">
        <v>877</v>
      </c>
    </row>
    <row r="1092" customFormat="false" ht="12.8" hidden="false" customHeight="false" outlineLevel="0" collapsed="false">
      <c r="A1092" s="1" t="s">
        <v>569</v>
      </c>
      <c r="C1092" s="3" t="s">
        <v>702</v>
      </c>
      <c r="D1092" s="4" t="s">
        <v>571</v>
      </c>
      <c r="F1092" s="6" t="s">
        <v>703</v>
      </c>
      <c r="G1092" s="7" t="str">
        <f aca="false">HYPERLINK(CONCATENATE("http://crfop.gdos.gov.pl/CRFOP/widok/viewpomnikprzyrody.jsf?fop=","PL.ZIPOP.1393.PP.1015042.1081"),"(kliknij lub Ctrl+kliknij)")</f>
        <v>(kliknij lub Ctrl+kliknij)</v>
      </c>
      <c r="H1092" s="0" t="s">
        <v>877</v>
      </c>
    </row>
    <row r="1093" customFormat="false" ht="12.8" hidden="false" customHeight="false" outlineLevel="0" collapsed="false">
      <c r="A1093" s="1" t="s">
        <v>569</v>
      </c>
      <c r="C1093" s="3" t="s">
        <v>702</v>
      </c>
      <c r="D1093" s="4" t="s">
        <v>571</v>
      </c>
      <c r="F1093" s="6" t="s">
        <v>703</v>
      </c>
      <c r="G1093" s="7" t="str">
        <f aca="false">HYPERLINK(CONCATENATE("http://crfop.gdos.gov.pl/CRFOP/widok/viewpomnikprzyrody.jsf?fop=","PL.ZIPOP.1393.PP.1015042.1082"),"(kliknij lub Ctrl+kliknij)")</f>
        <v>(kliknij lub Ctrl+kliknij)</v>
      </c>
      <c r="H1093" s="0" t="s">
        <v>877</v>
      </c>
    </row>
    <row r="1094" customFormat="false" ht="12.8" hidden="false" customHeight="false" outlineLevel="0" collapsed="false">
      <c r="A1094" s="1" t="s">
        <v>569</v>
      </c>
      <c r="C1094" s="3" t="s">
        <v>702</v>
      </c>
      <c r="D1094" s="4" t="s">
        <v>571</v>
      </c>
      <c r="F1094" s="6" t="s">
        <v>703</v>
      </c>
      <c r="G1094" s="7" t="str">
        <f aca="false">HYPERLINK(CONCATENATE("http://crfop.gdos.gov.pl/CRFOP/widok/viewpomnikprzyrody.jsf?fop=","PL.ZIPOP.1393.PP.1015042.1083"),"(kliknij lub Ctrl+kliknij)")</f>
        <v>(kliknij lub Ctrl+kliknij)</v>
      </c>
      <c r="H1094" s="0" t="s">
        <v>877</v>
      </c>
    </row>
    <row r="1095" customFormat="false" ht="12.8" hidden="false" customHeight="false" outlineLevel="0" collapsed="false">
      <c r="A1095" s="1" t="s">
        <v>569</v>
      </c>
      <c r="C1095" s="3" t="s">
        <v>702</v>
      </c>
      <c r="D1095" s="4" t="s">
        <v>571</v>
      </c>
      <c r="F1095" s="6" t="s">
        <v>703</v>
      </c>
      <c r="G1095" s="7" t="str">
        <f aca="false">HYPERLINK(CONCATENATE("http://crfop.gdos.gov.pl/CRFOP/widok/viewpomnikprzyrody.jsf?fop=","PL.ZIPOP.1393.PP.1015042.3049"),"(kliknij lub Ctrl+kliknij)")</f>
        <v>(kliknij lub Ctrl+kliknij)</v>
      </c>
      <c r="H1095" s="0" t="s">
        <v>877</v>
      </c>
    </row>
    <row r="1096" customFormat="false" ht="12.8" hidden="false" customHeight="false" outlineLevel="0" collapsed="false">
      <c r="A1096" s="1" t="s">
        <v>569</v>
      </c>
      <c r="C1096" s="3" t="s">
        <v>821</v>
      </c>
      <c r="D1096" s="4" t="s">
        <v>571</v>
      </c>
      <c r="F1096" s="6" t="s">
        <v>822</v>
      </c>
      <c r="G1096" s="7" t="str">
        <f aca="false">HYPERLINK(CONCATENATE("http://crfop.gdos.gov.pl/CRFOP/widok/viewpomnikprzyrody.jsf?fop=","PL.ZIPOP.1393.PP.1015062.1014"),"(kliknij lub Ctrl+kliknij)")</f>
        <v>(kliknij lub Ctrl+kliknij)</v>
      </c>
      <c r="H1096" s="0" t="s">
        <v>880</v>
      </c>
    </row>
    <row r="1097" customFormat="false" ht="12.8" hidden="false" customHeight="false" outlineLevel="0" collapsed="false">
      <c r="A1097" s="1" t="s">
        <v>569</v>
      </c>
      <c r="C1097" s="3" t="s">
        <v>821</v>
      </c>
      <c r="D1097" s="4" t="s">
        <v>571</v>
      </c>
      <c r="F1097" s="6" t="s">
        <v>822</v>
      </c>
      <c r="G1097" s="7" t="str">
        <f aca="false">HYPERLINK(CONCATENATE("http://crfop.gdos.gov.pl/CRFOP/widok/viewpomnikprzyrody.jsf?fop=","PL.ZIPOP.1393.PP.1015062.1015"),"(kliknij lub Ctrl+kliknij)")</f>
        <v>(kliknij lub Ctrl+kliknij)</v>
      </c>
      <c r="H1097" s="0" t="s">
        <v>880</v>
      </c>
    </row>
    <row r="1098" customFormat="false" ht="12.8" hidden="false" customHeight="false" outlineLevel="0" collapsed="false">
      <c r="A1098" s="1" t="s">
        <v>569</v>
      </c>
      <c r="C1098" s="3" t="s">
        <v>821</v>
      </c>
      <c r="D1098" s="4" t="s">
        <v>571</v>
      </c>
      <c r="F1098" s="6" t="s">
        <v>822</v>
      </c>
      <c r="G1098" s="7" t="str">
        <f aca="false">HYPERLINK(CONCATENATE("http://crfop.gdos.gov.pl/CRFOP/widok/viewpomnikprzyrody.jsf?fop=","PL.ZIPOP.1393.PP.1015062.1016"),"(kliknij lub Ctrl+kliknij)")</f>
        <v>(kliknij lub Ctrl+kliknij)</v>
      </c>
      <c r="H1098" s="0" t="s">
        <v>880</v>
      </c>
    </row>
    <row r="1099" customFormat="false" ht="12.8" hidden="false" customHeight="false" outlineLevel="0" collapsed="false">
      <c r="A1099" s="1" t="s">
        <v>569</v>
      </c>
      <c r="C1099" s="3" t="s">
        <v>705</v>
      </c>
      <c r="D1099" s="4" t="s">
        <v>571</v>
      </c>
      <c r="F1099" s="6" t="s">
        <v>706</v>
      </c>
      <c r="G1099" s="7" t="str">
        <f aca="false">HYPERLINK(CONCATENATE("http://crfop.gdos.gov.pl/CRFOP/widok/viewpomnikprzyrody.jsf?fop=","PL.ZIPOP.1393.PP.1015062.1017"),"(kliknij lub Ctrl+kliknij)")</f>
        <v>(kliknij lub Ctrl+kliknij)</v>
      </c>
      <c r="H1099" s="0" t="s">
        <v>880</v>
      </c>
    </row>
    <row r="1100" customFormat="false" ht="12.8" hidden="false" customHeight="false" outlineLevel="0" collapsed="false">
      <c r="A1100" s="1" t="s">
        <v>569</v>
      </c>
      <c r="C1100" s="3" t="s">
        <v>702</v>
      </c>
      <c r="D1100" s="4" t="s">
        <v>571</v>
      </c>
      <c r="F1100" s="6" t="s">
        <v>703</v>
      </c>
      <c r="G1100" s="7" t="str">
        <f aca="false">HYPERLINK(CONCATENATE("http://crfop.gdos.gov.pl/CRFOP/widok/viewpomnikprzyrody.jsf?fop=","PL.ZIPOP.1393.PP.1015062.1018"),"(kliknij lub Ctrl+kliknij)")</f>
        <v>(kliknij lub Ctrl+kliknij)</v>
      </c>
      <c r="H1100" s="0" t="s">
        <v>880</v>
      </c>
    </row>
    <row r="1101" customFormat="false" ht="12.8" hidden="false" customHeight="false" outlineLevel="0" collapsed="false">
      <c r="A1101" s="1" t="s">
        <v>569</v>
      </c>
      <c r="C1101" s="3" t="s">
        <v>881</v>
      </c>
      <c r="D1101" s="4" t="s">
        <v>571</v>
      </c>
      <c r="F1101" s="6" t="s">
        <v>882</v>
      </c>
      <c r="G1101" s="7" t="str">
        <f aca="false">HYPERLINK(CONCATENATE("http://crfop.gdos.gov.pl/CRFOP/widok/viewpomnikprzyrody.jsf?fop=","PL.ZIPOP.1393.PP.1015062.1019"),"(kliknij lub Ctrl+kliknij)")</f>
        <v>(kliknij lub Ctrl+kliknij)</v>
      </c>
      <c r="H1101" s="0" t="s">
        <v>880</v>
      </c>
    </row>
    <row r="1102" customFormat="false" ht="12.8" hidden="false" customHeight="false" outlineLevel="0" collapsed="false">
      <c r="A1102" s="1" t="s">
        <v>569</v>
      </c>
      <c r="C1102" s="3" t="s">
        <v>881</v>
      </c>
      <c r="D1102" s="4" t="s">
        <v>571</v>
      </c>
      <c r="F1102" s="6" t="s">
        <v>882</v>
      </c>
      <c r="G1102" s="7" t="str">
        <f aca="false">HYPERLINK(CONCATENATE("http://crfop.gdos.gov.pl/CRFOP/widok/viewpomnikprzyrody.jsf?fop=","PL.ZIPOP.1393.PP.1015062.1020"),"(kliknij lub Ctrl+kliknij)")</f>
        <v>(kliknij lub Ctrl+kliknij)</v>
      </c>
      <c r="H1102" s="0" t="s">
        <v>880</v>
      </c>
    </row>
    <row r="1103" customFormat="false" ht="12.8" hidden="false" customHeight="false" outlineLevel="0" collapsed="false">
      <c r="A1103" s="1" t="s">
        <v>569</v>
      </c>
      <c r="C1103" s="3" t="s">
        <v>881</v>
      </c>
      <c r="D1103" s="4" t="s">
        <v>571</v>
      </c>
      <c r="F1103" s="6" t="s">
        <v>882</v>
      </c>
      <c r="G1103" s="7" t="str">
        <f aca="false">HYPERLINK(CONCATENATE("http://crfop.gdos.gov.pl/CRFOP/widok/viewpomnikprzyrody.jsf?fop=","PL.ZIPOP.1393.PP.1015062.1021"),"(kliknij lub Ctrl+kliknij)")</f>
        <v>(kliknij lub Ctrl+kliknij)</v>
      </c>
      <c r="H1103" s="0" t="s">
        <v>880</v>
      </c>
    </row>
    <row r="1104" customFormat="false" ht="12.8" hidden="false" customHeight="false" outlineLevel="0" collapsed="false">
      <c r="A1104" s="1" t="s">
        <v>569</v>
      </c>
      <c r="C1104" s="3" t="s">
        <v>881</v>
      </c>
      <c r="D1104" s="4" t="s">
        <v>571</v>
      </c>
      <c r="F1104" s="6" t="s">
        <v>882</v>
      </c>
      <c r="G1104" s="7" t="str">
        <f aca="false">HYPERLINK(CONCATENATE("http://crfop.gdos.gov.pl/CRFOP/widok/viewpomnikprzyrody.jsf?fop=","PL.ZIPOP.1393.PP.1015062.1022"),"(kliknij lub Ctrl+kliknij)")</f>
        <v>(kliknij lub Ctrl+kliknij)</v>
      </c>
      <c r="H1104" s="0" t="s">
        <v>880</v>
      </c>
    </row>
    <row r="1105" customFormat="false" ht="12.8" hidden="false" customHeight="false" outlineLevel="0" collapsed="false">
      <c r="A1105" s="1" t="s">
        <v>569</v>
      </c>
      <c r="C1105" s="3" t="s">
        <v>881</v>
      </c>
      <c r="D1105" s="4" t="s">
        <v>571</v>
      </c>
      <c r="F1105" s="6" t="s">
        <v>882</v>
      </c>
      <c r="G1105" s="7" t="str">
        <f aca="false">HYPERLINK(CONCATENATE("http://crfop.gdos.gov.pl/CRFOP/widok/viewpomnikprzyrody.jsf?fop=","PL.ZIPOP.1393.PP.1015062.1024"),"(kliknij lub Ctrl+kliknij)")</f>
        <v>(kliknij lub Ctrl+kliknij)</v>
      </c>
      <c r="H1105" s="0" t="s">
        <v>880</v>
      </c>
    </row>
    <row r="1106" customFormat="false" ht="12.8" hidden="false" customHeight="false" outlineLevel="0" collapsed="false">
      <c r="A1106" s="1" t="s">
        <v>569</v>
      </c>
      <c r="C1106" s="3" t="s">
        <v>881</v>
      </c>
      <c r="D1106" s="4" t="s">
        <v>571</v>
      </c>
      <c r="F1106" s="6" t="s">
        <v>882</v>
      </c>
      <c r="G1106" s="7" t="str">
        <f aca="false">HYPERLINK(CONCATENATE("http://crfop.gdos.gov.pl/CRFOP/widok/viewpomnikprzyrody.jsf?fop=","PL.ZIPOP.1393.PP.1015062.1025"),"(kliknij lub Ctrl+kliknij)")</f>
        <v>(kliknij lub Ctrl+kliknij)</v>
      </c>
      <c r="H1106" s="0" t="s">
        <v>880</v>
      </c>
    </row>
    <row r="1107" customFormat="false" ht="12.8" hidden="false" customHeight="false" outlineLevel="0" collapsed="false">
      <c r="A1107" s="1" t="s">
        <v>569</v>
      </c>
      <c r="C1107" s="3" t="s">
        <v>881</v>
      </c>
      <c r="D1107" s="4" t="s">
        <v>571</v>
      </c>
      <c r="F1107" s="6" t="s">
        <v>882</v>
      </c>
      <c r="G1107" s="7" t="str">
        <f aca="false">HYPERLINK(CONCATENATE("http://crfop.gdos.gov.pl/CRFOP/widok/viewpomnikprzyrody.jsf?fop=","PL.ZIPOP.1393.PP.1015062.1026"),"(kliknij lub Ctrl+kliknij)")</f>
        <v>(kliknij lub Ctrl+kliknij)</v>
      </c>
      <c r="H1107" s="0" t="s">
        <v>880</v>
      </c>
    </row>
    <row r="1108" customFormat="false" ht="12.8" hidden="false" customHeight="false" outlineLevel="0" collapsed="false">
      <c r="A1108" s="1" t="s">
        <v>569</v>
      </c>
      <c r="C1108" s="3" t="s">
        <v>881</v>
      </c>
      <c r="D1108" s="4" t="s">
        <v>571</v>
      </c>
      <c r="F1108" s="6" t="s">
        <v>882</v>
      </c>
      <c r="G1108" s="7" t="str">
        <f aca="false">HYPERLINK(CONCATENATE("http://crfop.gdos.gov.pl/CRFOP/widok/viewpomnikprzyrody.jsf?fop=","PL.ZIPOP.1393.PP.1015062.1027"),"(kliknij lub Ctrl+kliknij)")</f>
        <v>(kliknij lub Ctrl+kliknij)</v>
      </c>
      <c r="H1108" s="0" t="s">
        <v>880</v>
      </c>
    </row>
    <row r="1109" customFormat="false" ht="12.8" hidden="false" customHeight="false" outlineLevel="0" collapsed="false">
      <c r="A1109" s="1" t="s">
        <v>569</v>
      </c>
      <c r="C1109" s="3" t="s">
        <v>881</v>
      </c>
      <c r="D1109" s="4" t="s">
        <v>571</v>
      </c>
      <c r="F1109" s="6" t="s">
        <v>882</v>
      </c>
      <c r="G1109" s="7" t="str">
        <f aca="false">HYPERLINK(CONCATENATE("http://crfop.gdos.gov.pl/CRFOP/widok/viewpomnikprzyrody.jsf?fop=","PL.ZIPOP.1393.PP.1015062.1028"),"(kliknij lub Ctrl+kliknij)")</f>
        <v>(kliknij lub Ctrl+kliknij)</v>
      </c>
      <c r="H1109" s="0" t="s">
        <v>880</v>
      </c>
    </row>
    <row r="1110" customFormat="false" ht="12.8" hidden="false" customHeight="false" outlineLevel="0" collapsed="false">
      <c r="A1110" s="1" t="s">
        <v>569</v>
      </c>
      <c r="C1110" s="3" t="s">
        <v>881</v>
      </c>
      <c r="D1110" s="4" t="s">
        <v>571</v>
      </c>
      <c r="F1110" s="6" t="s">
        <v>882</v>
      </c>
      <c r="G1110" s="7" t="str">
        <f aca="false">HYPERLINK(CONCATENATE("http://crfop.gdos.gov.pl/CRFOP/widok/viewpomnikprzyrody.jsf?fop=","PL.ZIPOP.1393.PP.1015062.1029"),"(kliknij lub Ctrl+kliknij)")</f>
        <v>(kliknij lub Ctrl+kliknij)</v>
      </c>
      <c r="H1110" s="0" t="s">
        <v>880</v>
      </c>
    </row>
    <row r="1111" customFormat="false" ht="12.8" hidden="false" customHeight="false" outlineLevel="0" collapsed="false">
      <c r="A1111" s="1" t="s">
        <v>569</v>
      </c>
      <c r="C1111" s="3" t="s">
        <v>881</v>
      </c>
      <c r="D1111" s="4" t="s">
        <v>571</v>
      </c>
      <c r="F1111" s="6" t="s">
        <v>882</v>
      </c>
      <c r="G1111" s="7" t="str">
        <f aca="false">HYPERLINK(CONCATENATE("http://crfop.gdos.gov.pl/CRFOP/widok/viewpomnikprzyrody.jsf?fop=","PL.ZIPOP.1393.PP.1015062.1030"),"(kliknij lub Ctrl+kliknij)")</f>
        <v>(kliknij lub Ctrl+kliknij)</v>
      </c>
      <c r="H1111" s="0" t="s">
        <v>880</v>
      </c>
    </row>
    <row r="1112" customFormat="false" ht="12.8" hidden="false" customHeight="false" outlineLevel="0" collapsed="false">
      <c r="A1112" s="1" t="s">
        <v>569</v>
      </c>
      <c r="C1112" s="3" t="s">
        <v>881</v>
      </c>
      <c r="D1112" s="4" t="s">
        <v>571</v>
      </c>
      <c r="F1112" s="6" t="s">
        <v>882</v>
      </c>
      <c r="G1112" s="7" t="str">
        <f aca="false">HYPERLINK(CONCATENATE("http://crfop.gdos.gov.pl/CRFOP/widok/viewpomnikprzyrody.jsf?fop=","PL.ZIPOP.1393.PP.1015062.1031"),"(kliknij lub Ctrl+kliknij)")</f>
        <v>(kliknij lub Ctrl+kliknij)</v>
      </c>
      <c r="H1112" s="0" t="s">
        <v>880</v>
      </c>
    </row>
    <row r="1113" customFormat="false" ht="12.8" hidden="false" customHeight="false" outlineLevel="0" collapsed="false">
      <c r="A1113" s="1" t="s">
        <v>569</v>
      </c>
      <c r="C1113" s="3" t="s">
        <v>881</v>
      </c>
      <c r="D1113" s="4" t="s">
        <v>571</v>
      </c>
      <c r="F1113" s="6" t="s">
        <v>882</v>
      </c>
      <c r="G1113" s="7" t="str">
        <f aca="false">HYPERLINK(CONCATENATE("http://crfop.gdos.gov.pl/CRFOP/widok/viewpomnikprzyrody.jsf?fop=","PL.ZIPOP.1393.PP.1015062.1032"),"(kliknij lub Ctrl+kliknij)")</f>
        <v>(kliknij lub Ctrl+kliknij)</v>
      </c>
      <c r="H1113" s="0" t="s">
        <v>880</v>
      </c>
    </row>
    <row r="1114" customFormat="false" ht="12.8" hidden="false" customHeight="false" outlineLevel="0" collapsed="false">
      <c r="A1114" s="1" t="s">
        <v>569</v>
      </c>
      <c r="C1114" s="3" t="s">
        <v>881</v>
      </c>
      <c r="D1114" s="4" t="s">
        <v>571</v>
      </c>
      <c r="F1114" s="6" t="s">
        <v>882</v>
      </c>
      <c r="G1114" s="7" t="str">
        <f aca="false">HYPERLINK(CONCATENATE("http://crfop.gdos.gov.pl/CRFOP/widok/viewpomnikprzyrody.jsf?fop=","PL.ZIPOP.1393.PP.1015062.1033"),"(kliknij lub Ctrl+kliknij)")</f>
        <v>(kliknij lub Ctrl+kliknij)</v>
      </c>
      <c r="H1114" s="0" t="s">
        <v>880</v>
      </c>
    </row>
    <row r="1115" customFormat="false" ht="12.8" hidden="false" customHeight="false" outlineLevel="0" collapsed="false">
      <c r="A1115" s="1" t="s">
        <v>569</v>
      </c>
      <c r="C1115" s="3" t="s">
        <v>881</v>
      </c>
      <c r="D1115" s="4" t="s">
        <v>571</v>
      </c>
      <c r="F1115" s="6" t="s">
        <v>882</v>
      </c>
      <c r="G1115" s="7" t="str">
        <f aca="false">HYPERLINK(CONCATENATE("http://crfop.gdos.gov.pl/CRFOP/widok/viewpomnikprzyrody.jsf?fop=","PL.ZIPOP.1393.PP.1015062.1034"),"(kliknij lub Ctrl+kliknij)")</f>
        <v>(kliknij lub Ctrl+kliknij)</v>
      </c>
      <c r="H1115" s="0" t="s">
        <v>880</v>
      </c>
    </row>
    <row r="1116" customFormat="false" ht="12.8" hidden="false" customHeight="false" outlineLevel="0" collapsed="false">
      <c r="A1116" s="1" t="s">
        <v>569</v>
      </c>
      <c r="C1116" s="3" t="s">
        <v>881</v>
      </c>
      <c r="D1116" s="4" t="s">
        <v>571</v>
      </c>
      <c r="F1116" s="6" t="s">
        <v>882</v>
      </c>
      <c r="G1116" s="7" t="str">
        <f aca="false">HYPERLINK(CONCATENATE("http://crfop.gdos.gov.pl/CRFOP/widok/viewpomnikprzyrody.jsf?fop=","PL.ZIPOP.1393.PP.1015062.1035"),"(kliknij lub Ctrl+kliknij)")</f>
        <v>(kliknij lub Ctrl+kliknij)</v>
      </c>
      <c r="H1116" s="0" t="s">
        <v>880</v>
      </c>
    </row>
    <row r="1117" customFormat="false" ht="12.8" hidden="false" customHeight="false" outlineLevel="0" collapsed="false">
      <c r="A1117" s="1" t="s">
        <v>569</v>
      </c>
      <c r="C1117" s="3" t="s">
        <v>881</v>
      </c>
      <c r="D1117" s="4" t="s">
        <v>571</v>
      </c>
      <c r="F1117" s="6" t="s">
        <v>882</v>
      </c>
      <c r="G1117" s="7" t="str">
        <f aca="false">HYPERLINK(CONCATENATE("http://crfop.gdos.gov.pl/CRFOP/widok/viewpomnikprzyrody.jsf?fop=","PL.ZIPOP.1393.PP.1015062.1036"),"(kliknij lub Ctrl+kliknij)")</f>
        <v>(kliknij lub Ctrl+kliknij)</v>
      </c>
      <c r="H1117" s="0" t="s">
        <v>880</v>
      </c>
    </row>
    <row r="1118" customFormat="false" ht="12.8" hidden="false" customHeight="false" outlineLevel="0" collapsed="false">
      <c r="A1118" s="1" t="s">
        <v>569</v>
      </c>
      <c r="C1118" s="3" t="s">
        <v>881</v>
      </c>
      <c r="D1118" s="4" t="s">
        <v>571</v>
      </c>
      <c r="F1118" s="6" t="s">
        <v>882</v>
      </c>
      <c r="G1118" s="7" t="str">
        <f aca="false">HYPERLINK(CONCATENATE("http://crfop.gdos.gov.pl/CRFOP/widok/viewpomnikprzyrody.jsf?fop=","PL.ZIPOP.1393.PP.1015062.1037"),"(kliknij lub Ctrl+kliknij)")</f>
        <v>(kliknij lub Ctrl+kliknij)</v>
      </c>
      <c r="H1118" s="0" t="s">
        <v>880</v>
      </c>
    </row>
    <row r="1119" customFormat="false" ht="12.8" hidden="false" customHeight="false" outlineLevel="0" collapsed="false">
      <c r="A1119" s="1" t="s">
        <v>569</v>
      </c>
      <c r="C1119" s="3" t="s">
        <v>881</v>
      </c>
      <c r="D1119" s="4" t="s">
        <v>571</v>
      </c>
      <c r="F1119" s="6" t="s">
        <v>882</v>
      </c>
      <c r="G1119" s="7" t="str">
        <f aca="false">HYPERLINK(CONCATENATE("http://crfop.gdos.gov.pl/CRFOP/widok/viewpomnikprzyrody.jsf?fop=","PL.ZIPOP.1393.PP.1015062.1038"),"(kliknij lub Ctrl+kliknij)")</f>
        <v>(kliknij lub Ctrl+kliknij)</v>
      </c>
      <c r="H1119" s="0" t="s">
        <v>880</v>
      </c>
    </row>
    <row r="1120" customFormat="false" ht="12.8" hidden="false" customHeight="false" outlineLevel="0" collapsed="false">
      <c r="A1120" s="1" t="s">
        <v>569</v>
      </c>
      <c r="C1120" s="3" t="s">
        <v>881</v>
      </c>
      <c r="D1120" s="4" t="s">
        <v>571</v>
      </c>
      <c r="F1120" s="6" t="s">
        <v>882</v>
      </c>
      <c r="G1120" s="7" t="str">
        <f aca="false">HYPERLINK(CONCATENATE("http://crfop.gdos.gov.pl/CRFOP/widok/viewpomnikprzyrody.jsf?fop=","PL.ZIPOP.1393.PP.1015062.1039"),"(kliknij lub Ctrl+kliknij)")</f>
        <v>(kliknij lub Ctrl+kliknij)</v>
      </c>
      <c r="H1120" s="0" t="s">
        <v>880</v>
      </c>
    </row>
    <row r="1121" customFormat="false" ht="12.8" hidden="false" customHeight="false" outlineLevel="0" collapsed="false">
      <c r="A1121" s="1" t="s">
        <v>569</v>
      </c>
      <c r="C1121" s="3" t="s">
        <v>881</v>
      </c>
      <c r="D1121" s="4" t="s">
        <v>571</v>
      </c>
      <c r="F1121" s="6" t="s">
        <v>882</v>
      </c>
      <c r="G1121" s="7" t="str">
        <f aca="false">HYPERLINK(CONCATENATE("http://crfop.gdos.gov.pl/CRFOP/widok/viewpomnikprzyrody.jsf?fop=","PL.ZIPOP.1393.PP.1015062.1040"),"(kliknij lub Ctrl+kliknij)")</f>
        <v>(kliknij lub Ctrl+kliknij)</v>
      </c>
      <c r="H1121" s="0" t="s">
        <v>880</v>
      </c>
    </row>
    <row r="1122" customFormat="false" ht="12.8" hidden="false" customHeight="false" outlineLevel="0" collapsed="false">
      <c r="A1122" s="1" t="s">
        <v>569</v>
      </c>
      <c r="C1122" s="3" t="s">
        <v>881</v>
      </c>
      <c r="D1122" s="4" t="s">
        <v>571</v>
      </c>
      <c r="F1122" s="6" t="s">
        <v>882</v>
      </c>
      <c r="G1122" s="7" t="str">
        <f aca="false">HYPERLINK(CONCATENATE("http://crfop.gdos.gov.pl/CRFOP/widok/viewpomnikprzyrody.jsf?fop=","PL.ZIPOP.1393.PP.1015062.1041"),"(kliknij lub Ctrl+kliknij)")</f>
        <v>(kliknij lub Ctrl+kliknij)</v>
      </c>
      <c r="H1122" s="0" t="s">
        <v>880</v>
      </c>
    </row>
    <row r="1123" customFormat="false" ht="12.8" hidden="false" customHeight="false" outlineLevel="0" collapsed="false">
      <c r="A1123" s="1" t="s">
        <v>569</v>
      </c>
      <c r="C1123" s="3" t="s">
        <v>881</v>
      </c>
      <c r="D1123" s="4" t="s">
        <v>571</v>
      </c>
      <c r="F1123" s="6" t="s">
        <v>882</v>
      </c>
      <c r="G1123" s="7" t="str">
        <f aca="false">HYPERLINK(CONCATENATE("http://crfop.gdos.gov.pl/CRFOP/widok/viewpomnikprzyrody.jsf?fop=","PL.ZIPOP.1393.PP.1015062.1042"),"(kliknij lub Ctrl+kliknij)")</f>
        <v>(kliknij lub Ctrl+kliknij)</v>
      </c>
      <c r="H1123" s="0" t="s">
        <v>880</v>
      </c>
    </row>
    <row r="1124" customFormat="false" ht="12.8" hidden="false" customHeight="false" outlineLevel="0" collapsed="false">
      <c r="A1124" s="1" t="s">
        <v>569</v>
      </c>
      <c r="C1124" s="3" t="s">
        <v>881</v>
      </c>
      <c r="D1124" s="4" t="s">
        <v>571</v>
      </c>
      <c r="F1124" s="6" t="s">
        <v>882</v>
      </c>
      <c r="G1124" s="7" t="str">
        <f aca="false">HYPERLINK(CONCATENATE("http://crfop.gdos.gov.pl/CRFOP/widok/viewpomnikprzyrody.jsf?fop=","PL.ZIPOP.1393.PP.1015062.1043"),"(kliknij lub Ctrl+kliknij)")</f>
        <v>(kliknij lub Ctrl+kliknij)</v>
      </c>
      <c r="H1124" s="0" t="s">
        <v>880</v>
      </c>
    </row>
    <row r="1125" customFormat="false" ht="12.8" hidden="false" customHeight="false" outlineLevel="0" collapsed="false">
      <c r="A1125" s="1" t="s">
        <v>569</v>
      </c>
      <c r="C1125" s="3" t="s">
        <v>881</v>
      </c>
      <c r="D1125" s="4" t="s">
        <v>571</v>
      </c>
      <c r="F1125" s="6" t="s">
        <v>882</v>
      </c>
      <c r="G1125" s="7" t="str">
        <f aca="false">HYPERLINK(CONCATENATE("http://crfop.gdos.gov.pl/CRFOP/widok/viewpomnikprzyrody.jsf?fop=","PL.ZIPOP.1393.PP.1015062.1044"),"(kliknij lub Ctrl+kliknij)")</f>
        <v>(kliknij lub Ctrl+kliknij)</v>
      </c>
      <c r="H1125" s="0" t="s">
        <v>880</v>
      </c>
    </row>
    <row r="1126" customFormat="false" ht="12.8" hidden="false" customHeight="false" outlineLevel="0" collapsed="false">
      <c r="A1126" s="1" t="s">
        <v>569</v>
      </c>
      <c r="C1126" s="3" t="s">
        <v>881</v>
      </c>
      <c r="D1126" s="4" t="s">
        <v>571</v>
      </c>
      <c r="F1126" s="6" t="s">
        <v>882</v>
      </c>
      <c r="G1126" s="7" t="str">
        <f aca="false">HYPERLINK(CONCATENATE("http://crfop.gdos.gov.pl/CRFOP/widok/viewpomnikprzyrody.jsf?fop=","PL.ZIPOP.1393.PP.1015062.1045"),"(kliknij lub Ctrl+kliknij)")</f>
        <v>(kliknij lub Ctrl+kliknij)</v>
      </c>
      <c r="H1126" s="0" t="s">
        <v>880</v>
      </c>
    </row>
    <row r="1127" customFormat="false" ht="12.8" hidden="false" customHeight="false" outlineLevel="0" collapsed="false">
      <c r="A1127" s="1" t="s">
        <v>569</v>
      </c>
      <c r="C1127" s="3" t="s">
        <v>881</v>
      </c>
      <c r="D1127" s="4" t="s">
        <v>571</v>
      </c>
      <c r="F1127" s="6" t="s">
        <v>882</v>
      </c>
      <c r="G1127" s="7" t="str">
        <f aca="false">HYPERLINK(CONCATENATE("http://crfop.gdos.gov.pl/CRFOP/widok/viewpomnikprzyrody.jsf?fop=","PL.ZIPOP.1393.PP.1015062.1046"),"(kliknij lub Ctrl+kliknij)")</f>
        <v>(kliknij lub Ctrl+kliknij)</v>
      </c>
      <c r="H1127" s="0" t="s">
        <v>880</v>
      </c>
    </row>
    <row r="1128" customFormat="false" ht="12.8" hidden="false" customHeight="false" outlineLevel="0" collapsed="false">
      <c r="A1128" s="1" t="s">
        <v>569</v>
      </c>
      <c r="C1128" s="3" t="s">
        <v>881</v>
      </c>
      <c r="D1128" s="4" t="s">
        <v>571</v>
      </c>
      <c r="F1128" s="6" t="s">
        <v>882</v>
      </c>
      <c r="G1128" s="7" t="str">
        <f aca="false">HYPERLINK(CONCATENATE("http://crfop.gdos.gov.pl/CRFOP/widok/viewpomnikprzyrody.jsf?fop=","PL.ZIPOP.1393.PP.1015062.1047"),"(kliknij lub Ctrl+kliknij)")</f>
        <v>(kliknij lub Ctrl+kliknij)</v>
      </c>
      <c r="H1128" s="0" t="s">
        <v>880</v>
      </c>
    </row>
    <row r="1129" customFormat="false" ht="12.8" hidden="false" customHeight="false" outlineLevel="0" collapsed="false">
      <c r="A1129" s="1" t="s">
        <v>569</v>
      </c>
      <c r="C1129" s="3" t="s">
        <v>881</v>
      </c>
      <c r="D1129" s="4" t="s">
        <v>571</v>
      </c>
      <c r="F1129" s="6" t="s">
        <v>882</v>
      </c>
      <c r="G1129" s="7" t="str">
        <f aca="false">HYPERLINK(CONCATENATE("http://crfop.gdos.gov.pl/CRFOP/widok/viewpomnikprzyrody.jsf?fop=","PL.ZIPOP.1393.PP.1015062.1048"),"(kliknij lub Ctrl+kliknij)")</f>
        <v>(kliknij lub Ctrl+kliknij)</v>
      </c>
      <c r="H1129" s="0" t="s">
        <v>880</v>
      </c>
    </row>
    <row r="1130" customFormat="false" ht="12.8" hidden="false" customHeight="false" outlineLevel="0" collapsed="false">
      <c r="A1130" s="1" t="s">
        <v>569</v>
      </c>
      <c r="C1130" s="3" t="s">
        <v>881</v>
      </c>
      <c r="D1130" s="4" t="s">
        <v>571</v>
      </c>
      <c r="F1130" s="6" t="s">
        <v>882</v>
      </c>
      <c r="G1130" s="7" t="str">
        <f aca="false">HYPERLINK(CONCATENATE("http://crfop.gdos.gov.pl/CRFOP/widok/viewpomnikprzyrody.jsf?fop=","PL.ZIPOP.1393.PP.1015062.1049"),"(kliknij lub Ctrl+kliknij)")</f>
        <v>(kliknij lub Ctrl+kliknij)</v>
      </c>
      <c r="H1130" s="0" t="s">
        <v>880</v>
      </c>
    </row>
    <row r="1131" customFormat="false" ht="12.8" hidden="false" customHeight="false" outlineLevel="0" collapsed="false">
      <c r="A1131" s="1" t="s">
        <v>569</v>
      </c>
      <c r="C1131" s="3" t="s">
        <v>881</v>
      </c>
      <c r="D1131" s="4" t="s">
        <v>571</v>
      </c>
      <c r="F1131" s="6" t="s">
        <v>882</v>
      </c>
      <c r="G1131" s="7" t="str">
        <f aca="false">HYPERLINK(CONCATENATE("http://crfop.gdos.gov.pl/CRFOP/widok/viewpomnikprzyrody.jsf?fop=","PL.ZIPOP.1393.PP.1015062.1050"),"(kliknij lub Ctrl+kliknij)")</f>
        <v>(kliknij lub Ctrl+kliknij)</v>
      </c>
      <c r="H1131" s="0" t="s">
        <v>880</v>
      </c>
    </row>
    <row r="1132" customFormat="false" ht="12.8" hidden="false" customHeight="false" outlineLevel="0" collapsed="false">
      <c r="A1132" s="1" t="s">
        <v>569</v>
      </c>
      <c r="C1132" s="3" t="s">
        <v>881</v>
      </c>
      <c r="D1132" s="4" t="s">
        <v>571</v>
      </c>
      <c r="F1132" s="6" t="s">
        <v>882</v>
      </c>
      <c r="G1132" s="7" t="str">
        <f aca="false">HYPERLINK(CONCATENATE("http://crfop.gdos.gov.pl/CRFOP/widok/viewpomnikprzyrody.jsf?fop=","PL.ZIPOP.1393.PP.1015062.1051"),"(kliknij lub Ctrl+kliknij)")</f>
        <v>(kliknij lub Ctrl+kliknij)</v>
      </c>
      <c r="H1132" s="0" t="s">
        <v>880</v>
      </c>
    </row>
    <row r="1133" customFormat="false" ht="12.8" hidden="false" customHeight="false" outlineLevel="0" collapsed="false">
      <c r="A1133" s="1" t="s">
        <v>569</v>
      </c>
      <c r="C1133" s="3" t="s">
        <v>883</v>
      </c>
      <c r="D1133" s="4" t="s">
        <v>571</v>
      </c>
      <c r="F1133" s="6" t="s">
        <v>884</v>
      </c>
      <c r="G1133" s="7" t="str">
        <f aca="false">HYPERLINK(CONCATENATE("http://crfop.gdos.gov.pl/CRFOP/widok/viewpomnikprzyrody.jsf?fop=","PL.ZIPOP.1393.PP.1015062.1052"),"(kliknij lub Ctrl+kliknij)")</f>
        <v>(kliknij lub Ctrl+kliknij)</v>
      </c>
      <c r="H1133" s="0" t="s">
        <v>880</v>
      </c>
    </row>
    <row r="1134" customFormat="false" ht="12.8" hidden="false" customHeight="false" outlineLevel="0" collapsed="false">
      <c r="A1134" s="1" t="s">
        <v>569</v>
      </c>
      <c r="C1134" s="3" t="s">
        <v>883</v>
      </c>
      <c r="D1134" s="4" t="s">
        <v>571</v>
      </c>
      <c r="F1134" s="6" t="s">
        <v>884</v>
      </c>
      <c r="G1134" s="7" t="str">
        <f aca="false">HYPERLINK(CONCATENATE("http://crfop.gdos.gov.pl/CRFOP/widok/viewpomnikprzyrody.jsf?fop=","PL.ZIPOP.1393.PP.1015062.1053"),"(kliknij lub Ctrl+kliknij)")</f>
        <v>(kliknij lub Ctrl+kliknij)</v>
      </c>
      <c r="H1134" s="0" t="s">
        <v>880</v>
      </c>
    </row>
    <row r="1135" customFormat="false" ht="12.8" hidden="false" customHeight="false" outlineLevel="0" collapsed="false">
      <c r="A1135" s="1" t="s">
        <v>569</v>
      </c>
      <c r="C1135" s="3" t="s">
        <v>883</v>
      </c>
      <c r="D1135" s="4" t="s">
        <v>571</v>
      </c>
      <c r="F1135" s="6" t="s">
        <v>884</v>
      </c>
      <c r="G1135" s="7" t="str">
        <f aca="false">HYPERLINK(CONCATENATE("http://crfop.gdos.gov.pl/CRFOP/widok/viewpomnikprzyrody.jsf?fop=","PL.ZIPOP.1393.PP.1015062.1054"),"(kliknij lub Ctrl+kliknij)")</f>
        <v>(kliknij lub Ctrl+kliknij)</v>
      </c>
      <c r="H1135" s="0" t="s">
        <v>880</v>
      </c>
    </row>
    <row r="1136" customFormat="false" ht="12.8" hidden="false" customHeight="false" outlineLevel="0" collapsed="false">
      <c r="A1136" s="1" t="s">
        <v>569</v>
      </c>
      <c r="C1136" s="3" t="s">
        <v>885</v>
      </c>
      <c r="D1136" s="4" t="s">
        <v>571</v>
      </c>
      <c r="F1136" s="6" t="s">
        <v>886</v>
      </c>
      <c r="G1136" s="7" t="str">
        <f aca="false">HYPERLINK(CONCATENATE("http://crfop.gdos.gov.pl/CRFOP/widok/viewpomnikprzyrody.jsf?fop=","PL.ZIPOP.1393.PP.1015062.1056"),"(kliknij lub Ctrl+kliknij)")</f>
        <v>(kliknij lub Ctrl+kliknij)</v>
      </c>
      <c r="H1136" s="0" t="s">
        <v>880</v>
      </c>
    </row>
    <row r="1137" customFormat="false" ht="12.8" hidden="false" customHeight="false" outlineLevel="0" collapsed="false">
      <c r="A1137" s="1" t="s">
        <v>569</v>
      </c>
      <c r="C1137" s="3" t="s">
        <v>887</v>
      </c>
      <c r="D1137" s="4" t="s">
        <v>571</v>
      </c>
      <c r="F1137" s="6" t="s">
        <v>888</v>
      </c>
      <c r="G1137" s="7" t="str">
        <f aca="false">HYPERLINK(CONCATENATE("http://crfop.gdos.gov.pl/CRFOP/widok/viewpomnikprzyrody.jsf?fop=","PL.ZIPOP.1393.PP.1015062.1057"),"(kliknij lub Ctrl+kliknij)")</f>
        <v>(kliknij lub Ctrl+kliknij)</v>
      </c>
      <c r="H1137" s="0" t="s">
        <v>880</v>
      </c>
    </row>
    <row r="1138" customFormat="false" ht="12.8" hidden="false" customHeight="false" outlineLevel="0" collapsed="false">
      <c r="A1138" s="1" t="s">
        <v>569</v>
      </c>
      <c r="C1138" s="3" t="s">
        <v>887</v>
      </c>
      <c r="D1138" s="4" t="s">
        <v>571</v>
      </c>
      <c r="F1138" s="6" t="s">
        <v>888</v>
      </c>
      <c r="G1138" s="7" t="str">
        <f aca="false">HYPERLINK(CONCATENATE("http://crfop.gdos.gov.pl/CRFOP/widok/viewpomnikprzyrody.jsf?fop=","PL.ZIPOP.1393.PP.1015062.1058"),"(kliknij lub Ctrl+kliknij)")</f>
        <v>(kliknij lub Ctrl+kliknij)</v>
      </c>
      <c r="H1138" s="0" t="s">
        <v>880</v>
      </c>
    </row>
    <row r="1139" customFormat="false" ht="12.8" hidden="false" customHeight="false" outlineLevel="0" collapsed="false">
      <c r="A1139" s="1" t="s">
        <v>569</v>
      </c>
      <c r="C1139" s="3" t="s">
        <v>887</v>
      </c>
      <c r="D1139" s="4" t="s">
        <v>571</v>
      </c>
      <c r="F1139" s="6" t="s">
        <v>888</v>
      </c>
      <c r="G1139" s="7" t="str">
        <f aca="false">HYPERLINK(CONCATENATE("http://crfop.gdos.gov.pl/CRFOP/widok/viewpomnikprzyrody.jsf?fop=","PL.ZIPOP.1393.PP.1015062.1059"),"(kliknij lub Ctrl+kliknij)")</f>
        <v>(kliknij lub Ctrl+kliknij)</v>
      </c>
      <c r="H1139" s="0" t="s">
        <v>880</v>
      </c>
    </row>
    <row r="1140" customFormat="false" ht="12.8" hidden="false" customHeight="false" outlineLevel="0" collapsed="false">
      <c r="A1140" s="1" t="s">
        <v>569</v>
      </c>
      <c r="C1140" s="3" t="s">
        <v>887</v>
      </c>
      <c r="D1140" s="4" t="s">
        <v>571</v>
      </c>
      <c r="F1140" s="6" t="s">
        <v>888</v>
      </c>
      <c r="G1140" s="7" t="str">
        <f aca="false">HYPERLINK(CONCATENATE("http://crfop.gdos.gov.pl/CRFOP/widok/viewpomnikprzyrody.jsf?fop=","PL.ZIPOP.1393.PP.1015062.1060"),"(kliknij lub Ctrl+kliknij)")</f>
        <v>(kliknij lub Ctrl+kliknij)</v>
      </c>
      <c r="H1140" s="0" t="s">
        <v>880</v>
      </c>
    </row>
    <row r="1141" customFormat="false" ht="12.8" hidden="false" customHeight="false" outlineLevel="0" collapsed="false">
      <c r="A1141" s="1" t="s">
        <v>569</v>
      </c>
      <c r="C1141" s="3" t="s">
        <v>889</v>
      </c>
      <c r="D1141" s="4" t="s">
        <v>571</v>
      </c>
      <c r="F1141" s="6" t="s">
        <v>890</v>
      </c>
      <c r="G1141" s="7" t="str">
        <f aca="false">HYPERLINK(CONCATENATE("http://crfop.gdos.gov.pl/CRFOP/widok/viewpomnikprzyrody.jsf?fop=","PL.ZIPOP.1393.PP.1015072.1094"),"(kliknij lub Ctrl+kliknij)")</f>
        <v>(kliknij lub Ctrl+kliknij)</v>
      </c>
      <c r="H1141" s="0" t="s">
        <v>891</v>
      </c>
    </row>
    <row r="1142" customFormat="false" ht="12.8" hidden="false" customHeight="false" outlineLevel="0" collapsed="false">
      <c r="A1142" s="1" t="s">
        <v>569</v>
      </c>
      <c r="C1142" s="3" t="s">
        <v>889</v>
      </c>
      <c r="D1142" s="4" t="s">
        <v>571</v>
      </c>
      <c r="F1142" s="6" t="s">
        <v>890</v>
      </c>
      <c r="G1142" s="7" t="str">
        <f aca="false">HYPERLINK(CONCATENATE("http://crfop.gdos.gov.pl/CRFOP/widok/viewpomnikprzyrody.jsf?fop=","PL.ZIPOP.1393.PP.1015072.1095"),"(kliknij lub Ctrl+kliknij)")</f>
        <v>(kliknij lub Ctrl+kliknij)</v>
      </c>
      <c r="H1142" s="0" t="s">
        <v>891</v>
      </c>
    </row>
    <row r="1143" customFormat="false" ht="12.8" hidden="false" customHeight="false" outlineLevel="0" collapsed="false">
      <c r="A1143" s="1" t="s">
        <v>569</v>
      </c>
      <c r="C1143" s="3" t="s">
        <v>700</v>
      </c>
      <c r="D1143" s="4" t="s">
        <v>571</v>
      </c>
      <c r="F1143" s="6" t="s">
        <v>892</v>
      </c>
      <c r="G1143" s="7" t="str">
        <f aca="false">HYPERLINK(CONCATENATE("http://crfop.gdos.gov.pl/CRFOP/widok/viewpomnikprzyrody.jsf?fop=","PL.ZIPOP.1393.PP.1015072.1115"),"(kliknij lub Ctrl+kliknij)")</f>
        <v>(kliknij lub Ctrl+kliknij)</v>
      </c>
      <c r="H1143" s="0" t="s">
        <v>891</v>
      </c>
    </row>
    <row r="1144" customFormat="false" ht="12.8" hidden="false" customHeight="false" outlineLevel="0" collapsed="false">
      <c r="A1144" s="1" t="s">
        <v>569</v>
      </c>
      <c r="C1144" s="3" t="s">
        <v>647</v>
      </c>
      <c r="D1144" s="4" t="s">
        <v>571</v>
      </c>
      <c r="F1144" s="6" t="s">
        <v>649</v>
      </c>
      <c r="G1144" s="7" t="str">
        <f aca="false">HYPERLINK(CONCATENATE("http://crfop.gdos.gov.pl/CRFOP/widok/viewpomnikprzyrody.jsf?fop=","PL.ZIPOP.1393.PP.1015072.1116"),"(kliknij lub Ctrl+kliknij)")</f>
        <v>(kliknij lub Ctrl+kliknij)</v>
      </c>
      <c r="H1144" s="0" t="s">
        <v>891</v>
      </c>
    </row>
    <row r="1145" customFormat="false" ht="12.8" hidden="false" customHeight="false" outlineLevel="0" collapsed="false">
      <c r="A1145" s="1" t="s">
        <v>569</v>
      </c>
      <c r="C1145" s="3" t="s">
        <v>893</v>
      </c>
      <c r="D1145" s="4" t="s">
        <v>571</v>
      </c>
      <c r="F1145" s="6" t="s">
        <v>894</v>
      </c>
      <c r="G1145" s="7" t="str">
        <f aca="false">HYPERLINK(CONCATENATE("http://crfop.gdos.gov.pl/CRFOP/widok/viewpomnikprzyrody.jsf?fop=","PL.ZIPOP.1393.PP.1015082.948"),"(kliknij lub Ctrl+kliknij)")</f>
        <v>(kliknij lub Ctrl+kliknij)</v>
      </c>
      <c r="H1145" s="0" t="s">
        <v>895</v>
      </c>
    </row>
    <row r="1146" customFormat="false" ht="12.8" hidden="false" customHeight="false" outlineLevel="0" collapsed="false">
      <c r="A1146" s="1" t="s">
        <v>569</v>
      </c>
      <c r="C1146" s="3" t="s">
        <v>893</v>
      </c>
      <c r="D1146" s="4" t="s">
        <v>571</v>
      </c>
      <c r="F1146" s="6" t="s">
        <v>894</v>
      </c>
      <c r="G1146" s="7" t="str">
        <f aca="false">HYPERLINK(CONCATENATE("http://crfop.gdos.gov.pl/CRFOP/widok/viewpomnikprzyrody.jsf?fop=","PL.ZIPOP.1393.PP.1015082.949"),"(kliknij lub Ctrl+kliknij)")</f>
        <v>(kliknij lub Ctrl+kliknij)</v>
      </c>
      <c r="H1146" s="0" t="s">
        <v>895</v>
      </c>
    </row>
    <row r="1147" customFormat="false" ht="12.8" hidden="false" customHeight="false" outlineLevel="0" collapsed="false">
      <c r="A1147" s="1" t="s">
        <v>569</v>
      </c>
      <c r="C1147" s="3" t="s">
        <v>893</v>
      </c>
      <c r="D1147" s="4" t="s">
        <v>571</v>
      </c>
      <c r="F1147" s="6" t="s">
        <v>894</v>
      </c>
      <c r="G1147" s="7" t="str">
        <f aca="false">HYPERLINK(CONCATENATE("http://crfop.gdos.gov.pl/CRFOP/widok/viewpomnikprzyrody.jsf?fop=","PL.ZIPOP.1393.PP.1015082.950"),"(kliknij lub Ctrl+kliknij)")</f>
        <v>(kliknij lub Ctrl+kliknij)</v>
      </c>
      <c r="H1147" s="0" t="s">
        <v>895</v>
      </c>
    </row>
    <row r="1148" customFormat="false" ht="12.8" hidden="false" customHeight="false" outlineLevel="0" collapsed="false">
      <c r="A1148" s="1" t="s">
        <v>569</v>
      </c>
      <c r="C1148" s="3" t="s">
        <v>821</v>
      </c>
      <c r="D1148" s="4" t="s">
        <v>571</v>
      </c>
      <c r="F1148" s="6" t="s">
        <v>822</v>
      </c>
      <c r="G1148" s="7" t="str">
        <f aca="false">HYPERLINK(CONCATENATE("http://crfop.gdos.gov.pl/CRFOP/widok/viewpomnikprzyrody.jsf?fop=","PL.ZIPOP.1393.PP.1015082.951"),"(kliknij lub Ctrl+kliknij)")</f>
        <v>(kliknij lub Ctrl+kliknij)</v>
      </c>
      <c r="H1148" s="0" t="s">
        <v>895</v>
      </c>
    </row>
    <row r="1149" customFormat="false" ht="12.8" hidden="false" customHeight="false" outlineLevel="0" collapsed="false">
      <c r="A1149" s="1" t="s">
        <v>569</v>
      </c>
      <c r="C1149" s="3" t="s">
        <v>821</v>
      </c>
      <c r="D1149" s="4" t="s">
        <v>571</v>
      </c>
      <c r="F1149" s="6" t="s">
        <v>822</v>
      </c>
      <c r="G1149" s="7" t="str">
        <f aca="false">HYPERLINK(CONCATENATE("http://crfop.gdos.gov.pl/CRFOP/widok/viewpomnikprzyrody.jsf?fop=","PL.ZIPOP.1393.PP.1015082.952"),"(kliknij lub Ctrl+kliknij)")</f>
        <v>(kliknij lub Ctrl+kliknij)</v>
      </c>
      <c r="H1149" s="0" t="s">
        <v>895</v>
      </c>
    </row>
    <row r="1150" customFormat="false" ht="12.8" hidden="false" customHeight="false" outlineLevel="0" collapsed="false">
      <c r="A1150" s="1" t="s">
        <v>569</v>
      </c>
      <c r="C1150" s="3" t="s">
        <v>821</v>
      </c>
      <c r="D1150" s="4" t="s">
        <v>571</v>
      </c>
      <c r="F1150" s="6" t="s">
        <v>822</v>
      </c>
      <c r="G1150" s="7" t="str">
        <f aca="false">HYPERLINK(CONCATENATE("http://crfop.gdos.gov.pl/CRFOP/widok/viewpomnikprzyrody.jsf?fop=","PL.ZIPOP.1393.PP.1015082.953"),"(kliknij lub Ctrl+kliknij)")</f>
        <v>(kliknij lub Ctrl+kliknij)</v>
      </c>
      <c r="H1150" s="0" t="s">
        <v>895</v>
      </c>
    </row>
    <row r="1151" customFormat="false" ht="12.8" hidden="false" customHeight="false" outlineLevel="0" collapsed="false">
      <c r="A1151" s="1" t="s">
        <v>569</v>
      </c>
      <c r="C1151" s="3" t="s">
        <v>700</v>
      </c>
      <c r="D1151" s="4" t="s">
        <v>571</v>
      </c>
      <c r="F1151" s="6" t="s">
        <v>896</v>
      </c>
      <c r="G1151" s="7" t="str">
        <f aca="false">HYPERLINK(CONCATENATE("http://crfop.gdos.gov.pl/CRFOP/widok/viewpomnikprzyrody.jsf?fop=","PL.ZIPOP.1393.PP.1015082.954"),"(kliknij lub Ctrl+kliknij)")</f>
        <v>(kliknij lub Ctrl+kliknij)</v>
      </c>
      <c r="H1151" s="0" t="s">
        <v>895</v>
      </c>
    </row>
    <row r="1152" customFormat="false" ht="12.8" hidden="false" customHeight="false" outlineLevel="0" collapsed="false">
      <c r="A1152" s="1" t="s">
        <v>569</v>
      </c>
      <c r="C1152" s="3" t="s">
        <v>705</v>
      </c>
      <c r="D1152" s="4" t="s">
        <v>571</v>
      </c>
      <c r="F1152" s="6" t="s">
        <v>706</v>
      </c>
      <c r="G1152" s="7" t="str">
        <f aca="false">HYPERLINK(CONCATENATE("http://crfop.gdos.gov.pl/CRFOP/widok/viewpomnikprzyrody.jsf?fop=","PL.ZIPOP.1393.PP.1015082.955"),"(kliknij lub Ctrl+kliknij)")</f>
        <v>(kliknij lub Ctrl+kliknij)</v>
      </c>
      <c r="H1152" s="0" t="s">
        <v>895</v>
      </c>
    </row>
    <row r="1153" customFormat="false" ht="12.8" hidden="false" customHeight="false" outlineLevel="0" collapsed="false">
      <c r="A1153" s="1" t="s">
        <v>569</v>
      </c>
      <c r="C1153" s="3" t="s">
        <v>897</v>
      </c>
      <c r="D1153" s="4" t="s">
        <v>571</v>
      </c>
      <c r="F1153" s="6" t="s">
        <v>706</v>
      </c>
      <c r="G1153" s="7" t="str">
        <f aca="false">HYPERLINK(CONCATENATE("http://crfop.gdos.gov.pl/CRFOP/widok/viewpomnikprzyrody.jsf?fop=","PL.ZIPOP.1393.PP.1015082.956"),"(kliknij lub Ctrl+kliknij)")</f>
        <v>(kliknij lub Ctrl+kliknij)</v>
      </c>
      <c r="H1153" s="0" t="s">
        <v>895</v>
      </c>
    </row>
    <row r="1154" customFormat="false" ht="12.8" hidden="false" customHeight="false" outlineLevel="0" collapsed="false">
      <c r="A1154" s="1" t="s">
        <v>569</v>
      </c>
      <c r="C1154" s="3" t="s">
        <v>897</v>
      </c>
      <c r="D1154" s="4" t="s">
        <v>571</v>
      </c>
      <c r="F1154" s="6" t="s">
        <v>706</v>
      </c>
      <c r="G1154" s="7" t="str">
        <f aca="false">HYPERLINK(CONCATENATE("http://crfop.gdos.gov.pl/CRFOP/widok/viewpomnikprzyrody.jsf?fop=","PL.ZIPOP.1393.PP.1015082.957"),"(kliknij lub Ctrl+kliknij)")</f>
        <v>(kliknij lub Ctrl+kliknij)</v>
      </c>
      <c r="H1154" s="0" t="s">
        <v>895</v>
      </c>
    </row>
    <row r="1155" customFormat="false" ht="12.8" hidden="false" customHeight="false" outlineLevel="0" collapsed="false">
      <c r="A1155" s="1" t="s">
        <v>569</v>
      </c>
      <c r="C1155" s="3" t="s">
        <v>687</v>
      </c>
      <c r="D1155" s="4" t="s">
        <v>571</v>
      </c>
      <c r="F1155" s="6" t="s">
        <v>688</v>
      </c>
      <c r="G1155" s="7" t="str">
        <f aca="false">HYPERLINK(CONCATENATE("http://crfop.gdos.gov.pl/CRFOP/widok/viewpomnikprzyrody.jsf?fop=","PL.ZIPOP.1393.PP.1015082.959"),"(kliknij lub Ctrl+kliknij)")</f>
        <v>(kliknij lub Ctrl+kliknij)</v>
      </c>
      <c r="H1155" s="0" t="s">
        <v>895</v>
      </c>
    </row>
    <row r="1156" customFormat="false" ht="12.8" hidden="false" customHeight="false" outlineLevel="0" collapsed="false">
      <c r="A1156" s="1" t="s">
        <v>569</v>
      </c>
      <c r="C1156" s="3" t="s">
        <v>687</v>
      </c>
      <c r="D1156" s="4" t="s">
        <v>571</v>
      </c>
      <c r="F1156" s="6" t="s">
        <v>688</v>
      </c>
      <c r="G1156" s="7" t="str">
        <f aca="false">HYPERLINK(CONCATENATE("http://crfop.gdos.gov.pl/CRFOP/widok/viewpomnikprzyrody.jsf?fop=","PL.ZIPOP.1393.PP.1015082.960"),"(kliknij lub Ctrl+kliknij)")</f>
        <v>(kliknij lub Ctrl+kliknij)</v>
      </c>
      <c r="H1156" s="0" t="s">
        <v>895</v>
      </c>
    </row>
    <row r="1157" customFormat="false" ht="12.8" hidden="false" customHeight="false" outlineLevel="0" collapsed="false">
      <c r="A1157" s="1" t="s">
        <v>569</v>
      </c>
      <c r="C1157" s="3" t="s">
        <v>687</v>
      </c>
      <c r="D1157" s="4" t="s">
        <v>571</v>
      </c>
      <c r="F1157" s="6" t="s">
        <v>688</v>
      </c>
      <c r="G1157" s="7" t="str">
        <f aca="false">HYPERLINK(CONCATENATE("http://crfop.gdos.gov.pl/CRFOP/widok/viewpomnikprzyrody.jsf?fop=","PL.ZIPOP.1393.PP.1015082.961"),"(kliknij lub Ctrl+kliknij)")</f>
        <v>(kliknij lub Ctrl+kliknij)</v>
      </c>
      <c r="H1157" s="0" t="s">
        <v>895</v>
      </c>
    </row>
    <row r="1158" customFormat="false" ht="12.8" hidden="false" customHeight="false" outlineLevel="0" collapsed="false">
      <c r="A1158" s="1" t="s">
        <v>569</v>
      </c>
      <c r="C1158" s="3" t="s">
        <v>687</v>
      </c>
      <c r="D1158" s="4" t="s">
        <v>571</v>
      </c>
      <c r="F1158" s="6" t="s">
        <v>688</v>
      </c>
      <c r="G1158" s="7" t="str">
        <f aca="false">HYPERLINK(CONCATENATE("http://crfop.gdos.gov.pl/CRFOP/widok/viewpomnikprzyrody.jsf?fop=","PL.ZIPOP.1393.PP.1015082.962"),"(kliknij lub Ctrl+kliknij)")</f>
        <v>(kliknij lub Ctrl+kliknij)</v>
      </c>
      <c r="H1158" s="0" t="s">
        <v>895</v>
      </c>
    </row>
    <row r="1159" customFormat="false" ht="12.8" hidden="false" customHeight="false" outlineLevel="0" collapsed="false">
      <c r="A1159" s="1" t="s">
        <v>569</v>
      </c>
      <c r="C1159" s="3" t="s">
        <v>840</v>
      </c>
      <c r="D1159" s="4" t="s">
        <v>571</v>
      </c>
      <c r="F1159" s="6" t="s">
        <v>898</v>
      </c>
      <c r="G1159" s="7" t="str">
        <f aca="false">HYPERLINK(CONCATENATE("http://crfop.gdos.gov.pl/CRFOP/widok/viewpomnikprzyrody.jsf?fop=","PL.ZIPOP.1393.PP.1015082.963"),"(kliknij lub Ctrl+kliknij)")</f>
        <v>(kliknij lub Ctrl+kliknij)</v>
      </c>
      <c r="H1159" s="0" t="s">
        <v>895</v>
      </c>
    </row>
    <row r="1160" customFormat="false" ht="12.8" hidden="false" customHeight="false" outlineLevel="0" collapsed="false">
      <c r="A1160" s="1" t="s">
        <v>569</v>
      </c>
      <c r="C1160" s="3" t="s">
        <v>702</v>
      </c>
      <c r="D1160" s="4" t="s">
        <v>571</v>
      </c>
      <c r="F1160" s="6" t="s">
        <v>703</v>
      </c>
      <c r="G1160" s="7" t="str">
        <f aca="false">HYPERLINK(CONCATENATE("http://crfop.gdos.gov.pl/CRFOP/widok/viewpomnikprzyrody.jsf?fop=","PL.ZIPOP.1393.PP.1015082.964"),"(kliknij lub Ctrl+kliknij)")</f>
        <v>(kliknij lub Ctrl+kliknij)</v>
      </c>
      <c r="H1160" s="0" t="s">
        <v>895</v>
      </c>
    </row>
    <row r="1161" customFormat="false" ht="12.8" hidden="false" customHeight="false" outlineLevel="0" collapsed="false">
      <c r="A1161" s="1" t="s">
        <v>569</v>
      </c>
      <c r="C1161" s="3" t="s">
        <v>899</v>
      </c>
      <c r="D1161" s="4" t="s">
        <v>571</v>
      </c>
      <c r="F1161" s="6" t="s">
        <v>888</v>
      </c>
      <c r="G1161" s="7" t="str">
        <f aca="false">HYPERLINK(CONCATENATE("http://crfop.gdos.gov.pl/CRFOP/widok/viewpomnikprzyrody.jsf?fop=","PL.ZIPOP.1393.PP.1015082.965"),"(kliknij lub Ctrl+kliknij)")</f>
        <v>(kliknij lub Ctrl+kliknij)</v>
      </c>
      <c r="H1161" s="0" t="s">
        <v>895</v>
      </c>
    </row>
    <row r="1162" customFormat="false" ht="12.8" hidden="false" customHeight="false" outlineLevel="0" collapsed="false">
      <c r="A1162" s="1" t="s">
        <v>569</v>
      </c>
      <c r="C1162" s="3" t="s">
        <v>900</v>
      </c>
      <c r="D1162" s="4" t="s">
        <v>571</v>
      </c>
      <c r="F1162" s="6" t="s">
        <v>901</v>
      </c>
      <c r="G1162" s="7" t="str">
        <f aca="false">HYPERLINK(CONCATENATE("http://crfop.gdos.gov.pl/CRFOP/widok/viewpomnikprzyrody.jsf?fop=","PL.ZIPOP.1393.PP.1015082.966"),"(kliknij lub Ctrl+kliknij)")</f>
        <v>(kliknij lub Ctrl+kliknij)</v>
      </c>
      <c r="H1162" s="0" t="s">
        <v>895</v>
      </c>
    </row>
    <row r="1163" customFormat="false" ht="12.8" hidden="false" customHeight="false" outlineLevel="0" collapsed="false">
      <c r="A1163" s="1" t="s">
        <v>569</v>
      </c>
      <c r="C1163" s="3" t="s">
        <v>900</v>
      </c>
      <c r="D1163" s="4" t="s">
        <v>571</v>
      </c>
      <c r="F1163" s="6" t="s">
        <v>901</v>
      </c>
      <c r="G1163" s="7" t="str">
        <f aca="false">HYPERLINK(CONCATENATE("http://crfop.gdos.gov.pl/CRFOP/widok/viewpomnikprzyrody.jsf?fop=","PL.ZIPOP.1393.PP.1015082.967"),"(kliknij lub Ctrl+kliknij)")</f>
        <v>(kliknij lub Ctrl+kliknij)</v>
      </c>
      <c r="H1163" s="0" t="s">
        <v>895</v>
      </c>
    </row>
    <row r="1164" customFormat="false" ht="12.8" hidden="false" customHeight="false" outlineLevel="0" collapsed="false">
      <c r="A1164" s="1" t="s">
        <v>569</v>
      </c>
      <c r="C1164" s="3" t="s">
        <v>900</v>
      </c>
      <c r="D1164" s="4" t="s">
        <v>571</v>
      </c>
      <c r="F1164" s="6" t="s">
        <v>901</v>
      </c>
      <c r="G1164" s="7" t="str">
        <f aca="false">HYPERLINK(CONCATENATE("http://crfop.gdos.gov.pl/CRFOP/widok/viewpomnikprzyrody.jsf?fop=","PL.ZIPOP.1393.PP.1015082.968"),"(kliknij lub Ctrl+kliknij)")</f>
        <v>(kliknij lub Ctrl+kliknij)</v>
      </c>
      <c r="H1164" s="0" t="s">
        <v>895</v>
      </c>
    </row>
    <row r="1165" customFormat="false" ht="12.8" hidden="false" customHeight="false" outlineLevel="0" collapsed="false">
      <c r="A1165" s="1" t="s">
        <v>569</v>
      </c>
      <c r="C1165" s="3" t="s">
        <v>705</v>
      </c>
      <c r="D1165" s="4" t="s">
        <v>571</v>
      </c>
      <c r="F1165" s="6" t="s">
        <v>706</v>
      </c>
      <c r="G1165" s="7" t="str">
        <f aca="false">HYPERLINK(CONCATENATE("http://crfop.gdos.gov.pl/CRFOP/widok/viewpomnikprzyrody.jsf?fop=","PL.ZIPOP.1393.PP.1015082.989"),"(kliknij lub Ctrl+kliknij)")</f>
        <v>(kliknij lub Ctrl+kliknij)</v>
      </c>
      <c r="H1165" s="0" t="s">
        <v>895</v>
      </c>
    </row>
    <row r="1166" customFormat="false" ht="12.8" hidden="false" customHeight="false" outlineLevel="0" collapsed="false">
      <c r="A1166" s="1" t="s">
        <v>569</v>
      </c>
      <c r="C1166" s="3" t="s">
        <v>570</v>
      </c>
      <c r="D1166" s="4" t="s">
        <v>571</v>
      </c>
      <c r="F1166" s="6" t="s">
        <v>572</v>
      </c>
      <c r="G1166" s="7" t="str">
        <f aca="false">HYPERLINK(CONCATENATE("http://crfop.gdos.gov.pl/CRFOP/widok/viewpomnikprzyrody.jsf?fop=","PL.ZIPOP.1393.PP.1016011.1320"),"(kliknij lub Ctrl+kliknij)")</f>
        <v>(kliknij lub Ctrl+kliknij)</v>
      </c>
      <c r="H1166" s="0" t="s">
        <v>902</v>
      </c>
    </row>
    <row r="1167" customFormat="false" ht="12.8" hidden="false" customHeight="false" outlineLevel="0" collapsed="false">
      <c r="A1167" s="1" t="s">
        <v>569</v>
      </c>
      <c r="C1167" s="3" t="s">
        <v>723</v>
      </c>
      <c r="D1167" s="4" t="s">
        <v>571</v>
      </c>
      <c r="F1167" s="6" t="s">
        <v>724</v>
      </c>
      <c r="G1167" s="7" t="str">
        <f aca="false">HYPERLINK(CONCATENATE("http://crfop.gdos.gov.pl/CRFOP/widok/viewpomnikprzyrody.jsf?fop=","PL.ZIPOP.1393.PP.1016011.1322"),"(kliknij lub Ctrl+kliknij)")</f>
        <v>(kliknij lub Ctrl+kliknij)</v>
      </c>
      <c r="H1167" s="0" t="s">
        <v>902</v>
      </c>
    </row>
    <row r="1168" customFormat="false" ht="12.8" hidden="false" customHeight="false" outlineLevel="0" collapsed="false">
      <c r="A1168" s="1" t="s">
        <v>569</v>
      </c>
      <c r="C1168" s="3" t="s">
        <v>723</v>
      </c>
      <c r="D1168" s="4" t="s">
        <v>571</v>
      </c>
      <c r="F1168" s="6" t="s">
        <v>724</v>
      </c>
      <c r="G1168" s="7" t="str">
        <f aca="false">HYPERLINK(CONCATENATE("http://crfop.gdos.gov.pl/CRFOP/widok/viewpomnikprzyrody.jsf?fop=","PL.ZIPOP.1393.PP.1016011.1323"),"(kliknij lub Ctrl+kliknij)")</f>
        <v>(kliknij lub Ctrl+kliknij)</v>
      </c>
      <c r="H1168" s="0" t="s">
        <v>902</v>
      </c>
    </row>
    <row r="1169" customFormat="false" ht="12.8" hidden="false" customHeight="false" outlineLevel="0" collapsed="false">
      <c r="A1169" s="1" t="s">
        <v>569</v>
      </c>
      <c r="C1169" s="3" t="s">
        <v>723</v>
      </c>
      <c r="D1169" s="4" t="s">
        <v>571</v>
      </c>
      <c r="F1169" s="6" t="s">
        <v>724</v>
      </c>
      <c r="G1169" s="7" t="str">
        <f aca="false">HYPERLINK(CONCATENATE("http://crfop.gdos.gov.pl/CRFOP/widok/viewpomnikprzyrody.jsf?fop=","PL.ZIPOP.1393.PP.1016011.1324"),"(kliknij lub Ctrl+kliknij)")</f>
        <v>(kliknij lub Ctrl+kliknij)</v>
      </c>
      <c r="H1169" s="0" t="s">
        <v>902</v>
      </c>
    </row>
    <row r="1170" customFormat="false" ht="12.8" hidden="false" customHeight="false" outlineLevel="0" collapsed="false">
      <c r="A1170" s="1" t="s">
        <v>569</v>
      </c>
      <c r="C1170" s="3" t="s">
        <v>570</v>
      </c>
      <c r="D1170" s="4" t="s">
        <v>571</v>
      </c>
      <c r="F1170" s="6" t="s">
        <v>572</v>
      </c>
      <c r="G1170" s="7" t="str">
        <f aca="false">HYPERLINK(CONCATENATE("http://crfop.gdos.gov.pl/CRFOP/widok/viewpomnikprzyrody.jsf?fop=","PL.ZIPOP.1393.PP.1016022.1360"),"(kliknij lub Ctrl+kliknij)")</f>
        <v>(kliknij lub Ctrl+kliknij)</v>
      </c>
      <c r="H1170" s="0" t="s">
        <v>903</v>
      </c>
    </row>
    <row r="1171" customFormat="false" ht="12.8" hidden="false" customHeight="false" outlineLevel="0" collapsed="false">
      <c r="A1171" s="1" t="s">
        <v>569</v>
      </c>
      <c r="B1171" s="2" t="s">
        <v>904</v>
      </c>
      <c r="C1171" s="3" t="s">
        <v>582</v>
      </c>
      <c r="D1171" s="4" t="s">
        <v>571</v>
      </c>
      <c r="F1171" s="6" t="s">
        <v>774</v>
      </c>
      <c r="G1171" s="7" t="str">
        <f aca="false">HYPERLINK(CONCATENATE("http://crfop.gdos.gov.pl/CRFOP/widok/viewpomnikprzyrody.jsf?fop=","PL.ZIPOP.1393.PP.1016032.1341"),"(kliknij lub Ctrl+kliknij)")</f>
        <v>(kliknij lub Ctrl+kliknij)</v>
      </c>
      <c r="H1171" s="0" t="s">
        <v>905</v>
      </c>
    </row>
    <row r="1172" customFormat="false" ht="12.8" hidden="false" customHeight="false" outlineLevel="0" collapsed="false">
      <c r="A1172" s="1" t="s">
        <v>569</v>
      </c>
      <c r="C1172" s="3" t="s">
        <v>570</v>
      </c>
      <c r="D1172" s="4" t="s">
        <v>571</v>
      </c>
      <c r="F1172" s="6" t="s">
        <v>572</v>
      </c>
      <c r="G1172" s="7" t="str">
        <f aca="false">HYPERLINK(CONCATENATE("http://crfop.gdos.gov.pl/CRFOP/widok/viewpomnikprzyrody.jsf?fop=","PL.ZIPOP.1393.PP.1016032.1361"),"(kliknij lub Ctrl+kliknij)")</f>
        <v>(kliknij lub Ctrl+kliknij)</v>
      </c>
      <c r="H1172" s="0" t="s">
        <v>905</v>
      </c>
    </row>
    <row r="1173" customFormat="false" ht="12.8" hidden="false" customHeight="false" outlineLevel="0" collapsed="false">
      <c r="A1173" s="1" t="s">
        <v>569</v>
      </c>
      <c r="C1173" s="3" t="s">
        <v>570</v>
      </c>
      <c r="D1173" s="4" t="s">
        <v>571</v>
      </c>
      <c r="F1173" s="6" t="s">
        <v>572</v>
      </c>
      <c r="G1173" s="7" t="str">
        <f aca="false">HYPERLINK(CONCATENATE("http://crfop.gdos.gov.pl/CRFOP/widok/viewpomnikprzyrody.jsf?fop=","PL.ZIPOP.1393.PP.1016032.1362"),"(kliknij lub Ctrl+kliknij)")</f>
        <v>(kliknij lub Ctrl+kliknij)</v>
      </c>
      <c r="H1173" s="0" t="s">
        <v>905</v>
      </c>
    </row>
    <row r="1174" customFormat="false" ht="12.8" hidden="false" customHeight="false" outlineLevel="0" collapsed="false">
      <c r="A1174" s="1" t="s">
        <v>569</v>
      </c>
      <c r="C1174" s="3" t="s">
        <v>574</v>
      </c>
      <c r="D1174" s="4" t="s">
        <v>571</v>
      </c>
      <c r="F1174" s="6" t="s">
        <v>575</v>
      </c>
      <c r="G1174" s="7" t="str">
        <f aca="false">HYPERLINK(CONCATENATE("http://crfop.gdos.gov.pl/CRFOP/widok/viewpomnikprzyrody.jsf?fop=","PL.ZIPOP.1393.PP.1016042.1364"),"(kliknij lub Ctrl+kliknij)")</f>
        <v>(kliknij lub Ctrl+kliknij)</v>
      </c>
      <c r="H1174" s="0" t="s">
        <v>906</v>
      </c>
    </row>
    <row r="1175" customFormat="false" ht="12.8" hidden="false" customHeight="false" outlineLevel="0" collapsed="false">
      <c r="A1175" s="1" t="s">
        <v>569</v>
      </c>
      <c r="C1175" s="3" t="s">
        <v>574</v>
      </c>
      <c r="D1175" s="4" t="s">
        <v>571</v>
      </c>
      <c r="F1175" s="6" t="s">
        <v>575</v>
      </c>
      <c r="G1175" s="7" t="str">
        <f aca="false">HYPERLINK(CONCATENATE("http://crfop.gdos.gov.pl/CRFOP/widok/viewpomnikprzyrody.jsf?fop=","PL.ZIPOP.1393.PP.1016042.1365"),"(kliknij lub Ctrl+kliknij)")</f>
        <v>(kliknij lub Ctrl+kliknij)</v>
      </c>
      <c r="H1175" s="0" t="s">
        <v>906</v>
      </c>
    </row>
    <row r="1176" customFormat="false" ht="12.8" hidden="false" customHeight="false" outlineLevel="0" collapsed="false">
      <c r="A1176" s="1" t="s">
        <v>569</v>
      </c>
      <c r="B1176" s="2" t="s">
        <v>907</v>
      </c>
      <c r="C1176" s="3" t="s">
        <v>582</v>
      </c>
      <c r="D1176" s="4" t="s">
        <v>571</v>
      </c>
      <c r="F1176" s="6" t="s">
        <v>774</v>
      </c>
      <c r="G1176" s="7" t="str">
        <f aca="false">HYPERLINK(CONCATENATE("http://crfop.gdos.gov.pl/CRFOP/widok/viewpomnikprzyrody.jsf?fop=","PL.ZIPOP.1393.PP.1016042.1366"),"(kliknij lub Ctrl+kliknij)")</f>
        <v>(kliknij lub Ctrl+kliknij)</v>
      </c>
      <c r="H1176" s="0" t="s">
        <v>906</v>
      </c>
    </row>
    <row r="1177" customFormat="false" ht="12.8" hidden="false" customHeight="false" outlineLevel="0" collapsed="false">
      <c r="A1177" s="1" t="s">
        <v>569</v>
      </c>
      <c r="C1177" s="3" t="s">
        <v>570</v>
      </c>
      <c r="D1177" s="4" t="s">
        <v>571</v>
      </c>
      <c r="F1177" s="6" t="s">
        <v>572</v>
      </c>
      <c r="G1177" s="7" t="str">
        <f aca="false">HYPERLINK(CONCATENATE("http://crfop.gdos.gov.pl/CRFOP/widok/viewpomnikprzyrody.jsf?fop=","PL.ZIPOP.1393.PP.1016052.1245"),"(kliknij lub Ctrl+kliknij)")</f>
        <v>(kliknij lub Ctrl+kliknij)</v>
      </c>
      <c r="H1177" s="0" t="s">
        <v>908</v>
      </c>
    </row>
    <row r="1178" customFormat="false" ht="12.8" hidden="false" customHeight="false" outlineLevel="0" collapsed="false">
      <c r="A1178" s="1" t="s">
        <v>569</v>
      </c>
      <c r="C1178" s="3" t="s">
        <v>570</v>
      </c>
      <c r="D1178" s="4" t="s">
        <v>571</v>
      </c>
      <c r="F1178" s="6" t="s">
        <v>572</v>
      </c>
      <c r="G1178" s="7" t="str">
        <f aca="false">HYPERLINK(CONCATENATE("http://crfop.gdos.gov.pl/CRFOP/widok/viewpomnikprzyrody.jsf?fop=","PL.ZIPOP.1393.PP.1016052.1246"),"(kliknij lub Ctrl+kliknij)")</f>
        <v>(kliknij lub Ctrl+kliknij)</v>
      </c>
      <c r="H1178" s="0" t="s">
        <v>908</v>
      </c>
    </row>
    <row r="1179" customFormat="false" ht="12.8" hidden="false" customHeight="false" outlineLevel="0" collapsed="false">
      <c r="A1179" s="1" t="s">
        <v>569</v>
      </c>
      <c r="C1179" s="3" t="s">
        <v>570</v>
      </c>
      <c r="D1179" s="4" t="s">
        <v>571</v>
      </c>
      <c r="F1179" s="6" t="s">
        <v>572</v>
      </c>
      <c r="G1179" s="7" t="str">
        <f aca="false">HYPERLINK(CONCATENATE("http://crfop.gdos.gov.pl/CRFOP/widok/viewpomnikprzyrody.jsf?fop=","PL.ZIPOP.1393.PP.1016052.1247"),"(kliknij lub Ctrl+kliknij)")</f>
        <v>(kliknij lub Ctrl+kliknij)</v>
      </c>
      <c r="H1179" s="0" t="s">
        <v>908</v>
      </c>
    </row>
    <row r="1180" customFormat="false" ht="12.8" hidden="false" customHeight="false" outlineLevel="0" collapsed="false">
      <c r="A1180" s="1" t="s">
        <v>569</v>
      </c>
      <c r="C1180" s="3" t="s">
        <v>909</v>
      </c>
      <c r="D1180" s="4" t="s">
        <v>571</v>
      </c>
      <c r="F1180" s="6" t="s">
        <v>910</v>
      </c>
      <c r="G1180" s="7" t="str">
        <f aca="false">HYPERLINK(CONCATENATE("http://crfop.gdos.gov.pl/CRFOP/widok/viewpomnikprzyrody.jsf?fop=","PL.ZIPOP.1393.PP.1016052.1248"),"(kliknij lub Ctrl+kliknij)")</f>
        <v>(kliknij lub Ctrl+kliknij)</v>
      </c>
      <c r="H1180" s="0" t="s">
        <v>908</v>
      </c>
    </row>
    <row r="1181" customFormat="false" ht="12.8" hidden="false" customHeight="false" outlineLevel="0" collapsed="false">
      <c r="A1181" s="1" t="s">
        <v>569</v>
      </c>
      <c r="C1181" s="3" t="s">
        <v>909</v>
      </c>
      <c r="D1181" s="4" t="s">
        <v>571</v>
      </c>
      <c r="F1181" s="6" t="s">
        <v>910</v>
      </c>
      <c r="G1181" s="7" t="str">
        <f aca="false">HYPERLINK(CONCATENATE("http://crfop.gdos.gov.pl/CRFOP/widok/viewpomnikprzyrody.jsf?fop=","PL.ZIPOP.1393.PP.1016052.1249"),"(kliknij lub Ctrl+kliknij)")</f>
        <v>(kliknij lub Ctrl+kliknij)</v>
      </c>
      <c r="H1181" s="0" t="s">
        <v>908</v>
      </c>
    </row>
    <row r="1182" customFormat="false" ht="12.8" hidden="false" customHeight="false" outlineLevel="0" collapsed="false">
      <c r="A1182" s="1" t="s">
        <v>569</v>
      </c>
      <c r="C1182" s="3" t="s">
        <v>909</v>
      </c>
      <c r="D1182" s="4" t="s">
        <v>571</v>
      </c>
      <c r="F1182" s="6" t="s">
        <v>910</v>
      </c>
      <c r="G1182" s="7" t="str">
        <f aca="false">HYPERLINK(CONCATENATE("http://crfop.gdos.gov.pl/CRFOP/widok/viewpomnikprzyrody.jsf?fop=","PL.ZIPOP.1393.PP.1016052.1250"),"(kliknij lub Ctrl+kliknij)")</f>
        <v>(kliknij lub Ctrl+kliknij)</v>
      </c>
      <c r="H1182" s="0" t="s">
        <v>908</v>
      </c>
    </row>
    <row r="1183" customFormat="false" ht="12.8" hidden="false" customHeight="false" outlineLevel="0" collapsed="false">
      <c r="A1183" s="1" t="s">
        <v>569</v>
      </c>
      <c r="C1183" s="3" t="s">
        <v>909</v>
      </c>
      <c r="D1183" s="4" t="s">
        <v>571</v>
      </c>
      <c r="F1183" s="6" t="s">
        <v>910</v>
      </c>
      <c r="G1183" s="7" t="str">
        <f aca="false">HYPERLINK(CONCATENATE("http://crfop.gdos.gov.pl/CRFOP/widok/viewpomnikprzyrody.jsf?fop=","PL.ZIPOP.1393.PP.1016052.1251"),"(kliknij lub Ctrl+kliknij)")</f>
        <v>(kliknij lub Ctrl+kliknij)</v>
      </c>
      <c r="H1183" s="0" t="s">
        <v>908</v>
      </c>
    </row>
    <row r="1184" customFormat="false" ht="12.8" hidden="false" customHeight="false" outlineLevel="0" collapsed="false">
      <c r="A1184" s="1" t="s">
        <v>569</v>
      </c>
      <c r="C1184" s="3" t="s">
        <v>909</v>
      </c>
      <c r="D1184" s="4" t="s">
        <v>571</v>
      </c>
      <c r="F1184" s="6" t="s">
        <v>910</v>
      </c>
      <c r="G1184" s="7" t="str">
        <f aca="false">HYPERLINK(CONCATENATE("http://crfop.gdos.gov.pl/CRFOP/widok/viewpomnikprzyrody.jsf?fop=","PL.ZIPOP.1393.PP.1016052.1252"),"(kliknij lub Ctrl+kliknij)")</f>
        <v>(kliknij lub Ctrl+kliknij)</v>
      </c>
      <c r="H1184" s="0" t="s">
        <v>908</v>
      </c>
    </row>
    <row r="1185" customFormat="false" ht="12.8" hidden="false" customHeight="false" outlineLevel="0" collapsed="false">
      <c r="A1185" s="1" t="s">
        <v>569</v>
      </c>
      <c r="C1185" s="3" t="s">
        <v>909</v>
      </c>
      <c r="D1185" s="4" t="s">
        <v>571</v>
      </c>
      <c r="F1185" s="6" t="s">
        <v>910</v>
      </c>
      <c r="G1185" s="7" t="str">
        <f aca="false">HYPERLINK(CONCATENATE("http://crfop.gdos.gov.pl/CRFOP/widok/viewpomnikprzyrody.jsf?fop=","PL.ZIPOP.1393.PP.1016052.1254"),"(kliknij lub Ctrl+kliknij)")</f>
        <v>(kliknij lub Ctrl+kliknij)</v>
      </c>
      <c r="H1185" s="0" t="s">
        <v>908</v>
      </c>
    </row>
    <row r="1186" customFormat="false" ht="12.8" hidden="false" customHeight="false" outlineLevel="0" collapsed="false">
      <c r="A1186" s="1" t="s">
        <v>569</v>
      </c>
      <c r="C1186" s="3" t="s">
        <v>909</v>
      </c>
      <c r="D1186" s="4" t="s">
        <v>571</v>
      </c>
      <c r="F1186" s="6" t="s">
        <v>910</v>
      </c>
      <c r="G1186" s="7" t="str">
        <f aca="false">HYPERLINK(CONCATENATE("http://crfop.gdos.gov.pl/CRFOP/widok/viewpomnikprzyrody.jsf?fop=","PL.ZIPOP.1393.PP.1016052.1255"),"(kliknij lub Ctrl+kliknij)")</f>
        <v>(kliknij lub Ctrl+kliknij)</v>
      </c>
      <c r="H1186" s="0" t="s">
        <v>908</v>
      </c>
    </row>
    <row r="1187" customFormat="false" ht="12.8" hidden="false" customHeight="false" outlineLevel="0" collapsed="false">
      <c r="A1187" s="1" t="s">
        <v>569</v>
      </c>
      <c r="C1187" s="3" t="s">
        <v>909</v>
      </c>
      <c r="D1187" s="4" t="s">
        <v>571</v>
      </c>
      <c r="F1187" s="6" t="s">
        <v>910</v>
      </c>
      <c r="G1187" s="7" t="str">
        <f aca="false">HYPERLINK(CONCATENATE("http://crfop.gdos.gov.pl/CRFOP/widok/viewpomnikprzyrody.jsf?fop=","PL.ZIPOP.1393.PP.1016052.1256"),"(kliknij lub Ctrl+kliknij)")</f>
        <v>(kliknij lub Ctrl+kliknij)</v>
      </c>
      <c r="H1187" s="0" t="s">
        <v>908</v>
      </c>
    </row>
    <row r="1188" customFormat="false" ht="12.8" hidden="false" customHeight="false" outlineLevel="0" collapsed="false">
      <c r="A1188" s="1" t="s">
        <v>569</v>
      </c>
      <c r="C1188" s="3" t="s">
        <v>909</v>
      </c>
      <c r="D1188" s="4" t="s">
        <v>571</v>
      </c>
      <c r="F1188" s="6" t="s">
        <v>910</v>
      </c>
      <c r="G1188" s="7" t="str">
        <f aca="false">HYPERLINK(CONCATENATE("http://crfop.gdos.gov.pl/CRFOP/widok/viewpomnikprzyrody.jsf?fop=","PL.ZIPOP.1393.PP.1016052.1257"),"(kliknij lub Ctrl+kliknij)")</f>
        <v>(kliknij lub Ctrl+kliknij)</v>
      </c>
      <c r="H1188" s="0" t="s">
        <v>908</v>
      </c>
    </row>
    <row r="1189" customFormat="false" ht="12.8" hidden="false" customHeight="false" outlineLevel="0" collapsed="false">
      <c r="A1189" s="1" t="s">
        <v>569</v>
      </c>
      <c r="C1189" s="3" t="s">
        <v>909</v>
      </c>
      <c r="D1189" s="4" t="s">
        <v>571</v>
      </c>
      <c r="F1189" s="6" t="s">
        <v>910</v>
      </c>
      <c r="G1189" s="7" t="str">
        <f aca="false">HYPERLINK(CONCATENATE("http://crfop.gdos.gov.pl/CRFOP/widok/viewpomnikprzyrody.jsf?fop=","PL.ZIPOP.1393.PP.1016052.1258"),"(kliknij lub Ctrl+kliknij)")</f>
        <v>(kliknij lub Ctrl+kliknij)</v>
      </c>
      <c r="H1189" s="0" t="s">
        <v>908</v>
      </c>
    </row>
    <row r="1190" customFormat="false" ht="12.8" hidden="false" customHeight="false" outlineLevel="0" collapsed="false">
      <c r="A1190" s="1" t="s">
        <v>569</v>
      </c>
      <c r="C1190" s="3" t="s">
        <v>909</v>
      </c>
      <c r="D1190" s="4" t="s">
        <v>571</v>
      </c>
      <c r="F1190" s="6" t="s">
        <v>910</v>
      </c>
      <c r="G1190" s="7" t="str">
        <f aca="false">HYPERLINK(CONCATENATE("http://crfop.gdos.gov.pl/CRFOP/widok/viewpomnikprzyrody.jsf?fop=","PL.ZIPOP.1393.PP.1016052.1259"),"(kliknij lub Ctrl+kliknij)")</f>
        <v>(kliknij lub Ctrl+kliknij)</v>
      </c>
      <c r="H1190" s="0" t="s">
        <v>908</v>
      </c>
    </row>
    <row r="1191" customFormat="false" ht="12.8" hidden="false" customHeight="false" outlineLevel="0" collapsed="false">
      <c r="A1191" s="1" t="s">
        <v>569</v>
      </c>
      <c r="C1191" s="3" t="s">
        <v>909</v>
      </c>
      <c r="D1191" s="4" t="s">
        <v>571</v>
      </c>
      <c r="F1191" s="6" t="s">
        <v>910</v>
      </c>
      <c r="G1191" s="7" t="str">
        <f aca="false">HYPERLINK(CONCATENATE("http://crfop.gdos.gov.pl/CRFOP/widok/viewpomnikprzyrody.jsf?fop=","PL.ZIPOP.1393.PP.1016052.1260"),"(kliknij lub Ctrl+kliknij)")</f>
        <v>(kliknij lub Ctrl+kliknij)</v>
      </c>
      <c r="H1191" s="0" t="s">
        <v>908</v>
      </c>
    </row>
    <row r="1192" customFormat="false" ht="12.8" hidden="false" customHeight="false" outlineLevel="0" collapsed="false">
      <c r="A1192" s="1" t="s">
        <v>569</v>
      </c>
      <c r="C1192" s="3" t="s">
        <v>909</v>
      </c>
      <c r="D1192" s="4" t="s">
        <v>571</v>
      </c>
      <c r="F1192" s="6" t="s">
        <v>910</v>
      </c>
      <c r="G1192" s="7" t="str">
        <f aca="false">HYPERLINK(CONCATENATE("http://crfop.gdos.gov.pl/CRFOP/widok/viewpomnikprzyrody.jsf?fop=","PL.ZIPOP.1393.PP.1016052.1262"),"(kliknij lub Ctrl+kliknij)")</f>
        <v>(kliknij lub Ctrl+kliknij)</v>
      </c>
      <c r="H1192" s="0" t="s">
        <v>908</v>
      </c>
    </row>
    <row r="1193" customFormat="false" ht="12.8" hidden="false" customHeight="false" outlineLevel="0" collapsed="false">
      <c r="A1193" s="1" t="s">
        <v>569</v>
      </c>
      <c r="C1193" s="3" t="s">
        <v>909</v>
      </c>
      <c r="D1193" s="4" t="s">
        <v>571</v>
      </c>
      <c r="F1193" s="6" t="s">
        <v>910</v>
      </c>
      <c r="G1193" s="7" t="str">
        <f aca="false">HYPERLINK(CONCATENATE("http://crfop.gdos.gov.pl/CRFOP/widok/viewpomnikprzyrody.jsf?fop=","PL.ZIPOP.1393.PP.1016052.1263"),"(kliknij lub Ctrl+kliknij)")</f>
        <v>(kliknij lub Ctrl+kliknij)</v>
      </c>
      <c r="H1193" s="0" t="s">
        <v>908</v>
      </c>
    </row>
    <row r="1194" customFormat="false" ht="12.8" hidden="false" customHeight="false" outlineLevel="0" collapsed="false">
      <c r="A1194" s="1" t="s">
        <v>569</v>
      </c>
      <c r="C1194" s="3" t="s">
        <v>909</v>
      </c>
      <c r="D1194" s="4" t="s">
        <v>571</v>
      </c>
      <c r="F1194" s="6" t="s">
        <v>910</v>
      </c>
      <c r="G1194" s="7" t="str">
        <f aca="false">HYPERLINK(CONCATENATE("http://crfop.gdos.gov.pl/CRFOP/widok/viewpomnikprzyrody.jsf?fop=","PL.ZIPOP.1393.PP.1016052.1264"),"(kliknij lub Ctrl+kliknij)")</f>
        <v>(kliknij lub Ctrl+kliknij)</v>
      </c>
      <c r="H1194" s="0" t="s">
        <v>908</v>
      </c>
    </row>
    <row r="1195" customFormat="false" ht="12.8" hidden="false" customHeight="false" outlineLevel="0" collapsed="false">
      <c r="A1195" s="1" t="s">
        <v>569</v>
      </c>
      <c r="C1195" s="3" t="s">
        <v>909</v>
      </c>
      <c r="D1195" s="4" t="s">
        <v>571</v>
      </c>
      <c r="F1195" s="6" t="s">
        <v>910</v>
      </c>
      <c r="G1195" s="7" t="str">
        <f aca="false">HYPERLINK(CONCATENATE("http://crfop.gdos.gov.pl/CRFOP/widok/viewpomnikprzyrody.jsf?fop=","PL.ZIPOP.1393.PP.1016052.1265"),"(kliknij lub Ctrl+kliknij)")</f>
        <v>(kliknij lub Ctrl+kliknij)</v>
      </c>
      <c r="H1195" s="0" t="s">
        <v>908</v>
      </c>
    </row>
    <row r="1196" customFormat="false" ht="12.8" hidden="false" customHeight="false" outlineLevel="0" collapsed="false">
      <c r="A1196" s="1" t="s">
        <v>569</v>
      </c>
      <c r="C1196" s="3" t="s">
        <v>909</v>
      </c>
      <c r="D1196" s="4" t="s">
        <v>571</v>
      </c>
      <c r="F1196" s="6" t="s">
        <v>910</v>
      </c>
      <c r="G1196" s="7" t="str">
        <f aca="false">HYPERLINK(CONCATENATE("http://crfop.gdos.gov.pl/CRFOP/widok/viewpomnikprzyrody.jsf?fop=","PL.ZIPOP.1393.PP.1016052.1266"),"(kliknij lub Ctrl+kliknij)")</f>
        <v>(kliknij lub Ctrl+kliknij)</v>
      </c>
      <c r="H1196" s="0" t="s">
        <v>908</v>
      </c>
    </row>
    <row r="1197" customFormat="false" ht="12.8" hidden="false" customHeight="false" outlineLevel="0" collapsed="false">
      <c r="A1197" s="1" t="s">
        <v>569</v>
      </c>
      <c r="C1197" s="3" t="s">
        <v>909</v>
      </c>
      <c r="D1197" s="4" t="s">
        <v>571</v>
      </c>
      <c r="F1197" s="6" t="s">
        <v>910</v>
      </c>
      <c r="G1197" s="7" t="str">
        <f aca="false">HYPERLINK(CONCATENATE("http://crfop.gdos.gov.pl/CRFOP/widok/viewpomnikprzyrody.jsf?fop=","PL.ZIPOP.1393.PP.1016052.1267"),"(kliknij lub Ctrl+kliknij)")</f>
        <v>(kliknij lub Ctrl+kliknij)</v>
      </c>
      <c r="H1197" s="0" t="s">
        <v>908</v>
      </c>
    </row>
    <row r="1198" customFormat="false" ht="12.8" hidden="false" customHeight="false" outlineLevel="0" collapsed="false">
      <c r="A1198" s="1" t="s">
        <v>569</v>
      </c>
      <c r="C1198" s="3" t="s">
        <v>909</v>
      </c>
      <c r="D1198" s="4" t="s">
        <v>571</v>
      </c>
      <c r="F1198" s="6" t="s">
        <v>910</v>
      </c>
      <c r="G1198" s="7" t="str">
        <f aca="false">HYPERLINK(CONCATENATE("http://crfop.gdos.gov.pl/CRFOP/widok/viewpomnikprzyrody.jsf?fop=","PL.ZIPOP.1393.PP.1016052.1269"),"(kliknij lub Ctrl+kliknij)")</f>
        <v>(kliknij lub Ctrl+kliknij)</v>
      </c>
      <c r="H1198" s="0" t="s">
        <v>908</v>
      </c>
    </row>
    <row r="1199" customFormat="false" ht="12.8" hidden="false" customHeight="false" outlineLevel="0" collapsed="false">
      <c r="A1199" s="1" t="s">
        <v>569</v>
      </c>
      <c r="C1199" s="3" t="s">
        <v>582</v>
      </c>
      <c r="D1199" s="4" t="s">
        <v>571</v>
      </c>
      <c r="F1199" s="6" t="s">
        <v>774</v>
      </c>
      <c r="G1199" s="7" t="str">
        <f aca="false">HYPERLINK(CONCATENATE("http://crfop.gdos.gov.pl/CRFOP/widok/viewpomnikprzyrody.jsf?fop=","PL.ZIPOP.1393.PP.1016052.1270"),"(kliknij lub Ctrl+kliknij)")</f>
        <v>(kliknij lub Ctrl+kliknij)</v>
      </c>
      <c r="H1199" s="0" t="s">
        <v>908</v>
      </c>
    </row>
    <row r="1200" customFormat="false" ht="12.8" hidden="false" customHeight="false" outlineLevel="0" collapsed="false">
      <c r="A1200" s="1" t="s">
        <v>569</v>
      </c>
      <c r="B1200" s="2" t="s">
        <v>911</v>
      </c>
      <c r="C1200" s="3" t="s">
        <v>912</v>
      </c>
      <c r="D1200" s="4" t="s">
        <v>571</v>
      </c>
      <c r="F1200" s="6" t="s">
        <v>913</v>
      </c>
      <c r="G1200" s="7" t="str">
        <f aca="false">HYPERLINK(CONCATENATE("http://crfop.gdos.gov.pl/CRFOP/widok/viewpomnikprzyrody.jsf?fop=","PL.ZIPOP.1393.PP.1016052.1272"),"(kliknij lub Ctrl+kliknij)")</f>
        <v>(kliknij lub Ctrl+kliknij)</v>
      </c>
      <c r="H1200" s="0" t="s">
        <v>908</v>
      </c>
    </row>
    <row r="1201" customFormat="false" ht="12.8" hidden="false" customHeight="false" outlineLevel="0" collapsed="false">
      <c r="A1201" s="1" t="s">
        <v>569</v>
      </c>
      <c r="B1201" s="2" t="s">
        <v>914</v>
      </c>
      <c r="C1201" s="3" t="s">
        <v>912</v>
      </c>
      <c r="D1201" s="4" t="s">
        <v>571</v>
      </c>
      <c r="F1201" s="6" t="s">
        <v>913</v>
      </c>
      <c r="G1201" s="7" t="str">
        <f aca="false">HYPERLINK(CONCATENATE("http://crfop.gdos.gov.pl/CRFOP/widok/viewpomnikprzyrody.jsf?fop=","PL.ZIPOP.1393.PP.1016052.1273"),"(kliknij lub Ctrl+kliknij)")</f>
        <v>(kliknij lub Ctrl+kliknij)</v>
      </c>
      <c r="H1201" s="0" t="s">
        <v>908</v>
      </c>
    </row>
    <row r="1202" customFormat="false" ht="12.8" hidden="false" customHeight="false" outlineLevel="0" collapsed="false">
      <c r="A1202" s="1" t="s">
        <v>569</v>
      </c>
      <c r="B1202" s="2" t="s">
        <v>915</v>
      </c>
      <c r="C1202" s="3" t="s">
        <v>912</v>
      </c>
      <c r="D1202" s="4" t="s">
        <v>571</v>
      </c>
      <c r="F1202" s="6" t="s">
        <v>913</v>
      </c>
      <c r="G1202" s="7" t="str">
        <f aca="false">HYPERLINK(CONCATENATE("http://crfop.gdos.gov.pl/CRFOP/widok/viewpomnikprzyrody.jsf?fop=","PL.ZIPOP.1393.PP.1016052.1274"),"(kliknij lub Ctrl+kliknij)")</f>
        <v>(kliknij lub Ctrl+kliknij)</v>
      </c>
      <c r="H1202" s="0" t="s">
        <v>908</v>
      </c>
    </row>
    <row r="1203" customFormat="false" ht="12.8" hidden="false" customHeight="false" outlineLevel="0" collapsed="false">
      <c r="A1203" s="1" t="s">
        <v>569</v>
      </c>
      <c r="B1203" s="2" t="s">
        <v>916</v>
      </c>
      <c r="C1203" s="3" t="s">
        <v>912</v>
      </c>
      <c r="D1203" s="4" t="s">
        <v>571</v>
      </c>
      <c r="F1203" s="6" t="s">
        <v>913</v>
      </c>
      <c r="G1203" s="7" t="str">
        <f aca="false">HYPERLINK(CONCATENATE("http://crfop.gdos.gov.pl/CRFOP/widok/viewpomnikprzyrody.jsf?fop=","PL.ZIPOP.1393.PP.1016052.1275"),"(kliknij lub Ctrl+kliknij)")</f>
        <v>(kliknij lub Ctrl+kliknij)</v>
      </c>
      <c r="H1203" s="0" t="s">
        <v>908</v>
      </c>
    </row>
    <row r="1204" customFormat="false" ht="12.8" hidden="false" customHeight="false" outlineLevel="0" collapsed="false">
      <c r="A1204" s="1" t="s">
        <v>569</v>
      </c>
      <c r="B1204" s="2" t="s">
        <v>917</v>
      </c>
      <c r="C1204" s="3" t="s">
        <v>912</v>
      </c>
      <c r="D1204" s="4" t="s">
        <v>571</v>
      </c>
      <c r="F1204" s="6" t="s">
        <v>913</v>
      </c>
      <c r="G1204" s="7" t="str">
        <f aca="false">HYPERLINK(CONCATENATE("http://crfop.gdos.gov.pl/CRFOP/widok/viewpomnikprzyrody.jsf?fop=","PL.ZIPOP.1393.PP.1016052.1280"),"(kliknij lub Ctrl+kliknij)")</f>
        <v>(kliknij lub Ctrl+kliknij)</v>
      </c>
      <c r="H1204" s="0" t="s">
        <v>908</v>
      </c>
    </row>
    <row r="1205" customFormat="false" ht="12.8" hidden="false" customHeight="false" outlineLevel="0" collapsed="false">
      <c r="A1205" s="1" t="s">
        <v>569</v>
      </c>
      <c r="B1205" s="2" t="s">
        <v>918</v>
      </c>
      <c r="C1205" s="3" t="s">
        <v>912</v>
      </c>
      <c r="D1205" s="4" t="s">
        <v>571</v>
      </c>
      <c r="F1205" s="6" t="s">
        <v>913</v>
      </c>
      <c r="G1205" s="7" t="str">
        <f aca="false">HYPERLINK(CONCATENATE("http://crfop.gdos.gov.pl/CRFOP/widok/viewpomnikprzyrody.jsf?fop=","PL.ZIPOP.1393.PP.1016052.1290"),"(kliknij lub Ctrl+kliknij)")</f>
        <v>(kliknij lub Ctrl+kliknij)</v>
      </c>
      <c r="H1205" s="0" t="s">
        <v>908</v>
      </c>
    </row>
    <row r="1206" customFormat="false" ht="12.8" hidden="false" customHeight="false" outlineLevel="0" collapsed="false">
      <c r="A1206" s="1" t="s">
        <v>569</v>
      </c>
      <c r="B1206" s="2" t="s">
        <v>919</v>
      </c>
      <c r="C1206" s="3" t="s">
        <v>912</v>
      </c>
      <c r="D1206" s="4" t="s">
        <v>571</v>
      </c>
      <c r="F1206" s="6" t="s">
        <v>913</v>
      </c>
      <c r="G1206" s="7" t="str">
        <f aca="false">HYPERLINK(CONCATENATE("http://crfop.gdos.gov.pl/CRFOP/widok/viewpomnikprzyrody.jsf?fop=","PL.ZIPOP.1393.PP.1016052.1299"),"(kliknij lub Ctrl+kliknij)")</f>
        <v>(kliknij lub Ctrl+kliknij)</v>
      </c>
      <c r="H1206" s="0" t="s">
        <v>908</v>
      </c>
    </row>
    <row r="1207" customFormat="false" ht="12.8" hidden="false" customHeight="false" outlineLevel="0" collapsed="false">
      <c r="A1207" s="1" t="s">
        <v>569</v>
      </c>
      <c r="B1207" s="2" t="s">
        <v>920</v>
      </c>
      <c r="C1207" s="3" t="s">
        <v>912</v>
      </c>
      <c r="D1207" s="4" t="s">
        <v>571</v>
      </c>
      <c r="F1207" s="6" t="s">
        <v>913</v>
      </c>
      <c r="G1207" s="7" t="str">
        <f aca="false">HYPERLINK(CONCATENATE("http://crfop.gdos.gov.pl/CRFOP/widok/viewpomnikprzyrody.jsf?fop=","PL.ZIPOP.1393.PP.1016052.1300"),"(kliknij lub Ctrl+kliknij)")</f>
        <v>(kliknij lub Ctrl+kliknij)</v>
      </c>
      <c r="H1207" s="0" t="s">
        <v>908</v>
      </c>
    </row>
    <row r="1208" customFormat="false" ht="12.8" hidden="false" customHeight="false" outlineLevel="0" collapsed="false">
      <c r="A1208" s="1" t="s">
        <v>569</v>
      </c>
      <c r="B1208" s="2" t="s">
        <v>921</v>
      </c>
      <c r="C1208" s="3" t="s">
        <v>912</v>
      </c>
      <c r="D1208" s="4" t="s">
        <v>571</v>
      </c>
      <c r="F1208" s="6" t="s">
        <v>913</v>
      </c>
      <c r="G1208" s="7" t="str">
        <f aca="false">HYPERLINK(CONCATENATE("http://crfop.gdos.gov.pl/CRFOP/widok/viewpomnikprzyrody.jsf?fop=","PL.ZIPOP.1393.PP.1016052.1301"),"(kliknij lub Ctrl+kliknij)")</f>
        <v>(kliknij lub Ctrl+kliknij)</v>
      </c>
      <c r="H1208" s="0" t="s">
        <v>908</v>
      </c>
    </row>
    <row r="1209" customFormat="false" ht="12.8" hidden="false" customHeight="false" outlineLevel="0" collapsed="false">
      <c r="A1209" s="1" t="s">
        <v>569</v>
      </c>
      <c r="B1209" s="2" t="s">
        <v>922</v>
      </c>
      <c r="C1209" s="3" t="s">
        <v>912</v>
      </c>
      <c r="D1209" s="4" t="s">
        <v>571</v>
      </c>
      <c r="F1209" s="6" t="s">
        <v>913</v>
      </c>
      <c r="G1209" s="7" t="str">
        <f aca="false">HYPERLINK(CONCATENATE("http://crfop.gdos.gov.pl/CRFOP/widok/viewpomnikprzyrody.jsf?fop=","PL.ZIPOP.1393.PP.1016052.1303"),"(kliknij lub Ctrl+kliknij)")</f>
        <v>(kliknij lub Ctrl+kliknij)</v>
      </c>
      <c r="H1209" s="0" t="s">
        <v>908</v>
      </c>
    </row>
    <row r="1210" customFormat="false" ht="12.8" hidden="false" customHeight="false" outlineLevel="0" collapsed="false">
      <c r="A1210" s="1" t="s">
        <v>569</v>
      </c>
      <c r="B1210" s="2" t="s">
        <v>923</v>
      </c>
      <c r="C1210" s="3" t="s">
        <v>912</v>
      </c>
      <c r="D1210" s="4" t="s">
        <v>571</v>
      </c>
      <c r="F1210" s="6" t="s">
        <v>913</v>
      </c>
      <c r="G1210" s="7" t="str">
        <f aca="false">HYPERLINK(CONCATENATE("http://crfop.gdos.gov.pl/CRFOP/widok/viewpomnikprzyrody.jsf?fop=","PL.ZIPOP.1393.PP.1016052.1304"),"(kliknij lub Ctrl+kliknij)")</f>
        <v>(kliknij lub Ctrl+kliknij)</v>
      </c>
      <c r="H1210" s="0" t="s">
        <v>908</v>
      </c>
    </row>
    <row r="1211" customFormat="false" ht="12.8" hidden="false" customHeight="false" outlineLevel="0" collapsed="false">
      <c r="A1211" s="1" t="s">
        <v>569</v>
      </c>
      <c r="B1211" s="2" t="s">
        <v>924</v>
      </c>
      <c r="C1211" s="3" t="s">
        <v>912</v>
      </c>
      <c r="D1211" s="4" t="s">
        <v>571</v>
      </c>
      <c r="F1211" s="6" t="s">
        <v>913</v>
      </c>
      <c r="G1211" s="7" t="str">
        <f aca="false">HYPERLINK(CONCATENATE("http://crfop.gdos.gov.pl/CRFOP/widok/viewpomnikprzyrody.jsf?fop=","PL.ZIPOP.1393.PP.1016052.1305"),"(kliknij lub Ctrl+kliknij)")</f>
        <v>(kliknij lub Ctrl+kliknij)</v>
      </c>
      <c r="H1211" s="0" t="s">
        <v>908</v>
      </c>
    </row>
    <row r="1212" customFormat="false" ht="12.8" hidden="false" customHeight="false" outlineLevel="0" collapsed="false">
      <c r="A1212" s="1" t="s">
        <v>569</v>
      </c>
      <c r="B1212" s="2" t="s">
        <v>925</v>
      </c>
      <c r="C1212" s="3" t="s">
        <v>912</v>
      </c>
      <c r="D1212" s="4" t="s">
        <v>571</v>
      </c>
      <c r="F1212" s="6" t="s">
        <v>913</v>
      </c>
      <c r="G1212" s="7" t="str">
        <f aca="false">HYPERLINK(CONCATENATE("http://crfop.gdos.gov.pl/CRFOP/widok/viewpomnikprzyrody.jsf?fop=","PL.ZIPOP.1393.PP.1016052.1307"),"(kliknij lub Ctrl+kliknij)")</f>
        <v>(kliknij lub Ctrl+kliknij)</v>
      </c>
      <c r="H1212" s="0" t="s">
        <v>908</v>
      </c>
    </row>
    <row r="1213" customFormat="false" ht="12.8" hidden="false" customHeight="false" outlineLevel="0" collapsed="false">
      <c r="A1213" s="1" t="s">
        <v>569</v>
      </c>
      <c r="B1213" s="2" t="s">
        <v>926</v>
      </c>
      <c r="C1213" s="3" t="s">
        <v>912</v>
      </c>
      <c r="D1213" s="4" t="s">
        <v>571</v>
      </c>
      <c r="F1213" s="6" t="s">
        <v>913</v>
      </c>
      <c r="G1213" s="7" t="str">
        <f aca="false">HYPERLINK(CONCATENATE("http://crfop.gdos.gov.pl/CRFOP/widok/viewpomnikprzyrody.jsf?fop=","PL.ZIPOP.1393.PP.1016052.1308"),"(kliknij lub Ctrl+kliknij)")</f>
        <v>(kliknij lub Ctrl+kliknij)</v>
      </c>
      <c r="H1213" s="0" t="s">
        <v>908</v>
      </c>
    </row>
    <row r="1214" customFormat="false" ht="12.8" hidden="false" customHeight="false" outlineLevel="0" collapsed="false">
      <c r="A1214" s="1" t="s">
        <v>569</v>
      </c>
      <c r="B1214" s="2" t="s">
        <v>927</v>
      </c>
      <c r="C1214" s="3" t="s">
        <v>582</v>
      </c>
      <c r="D1214" s="4" t="s">
        <v>571</v>
      </c>
      <c r="F1214" s="6" t="s">
        <v>774</v>
      </c>
      <c r="G1214" s="7" t="str">
        <f aca="false">HYPERLINK(CONCATENATE("http://crfop.gdos.gov.pl/CRFOP/widok/viewpomnikprzyrody.jsf?fop=","PL.ZIPOP.1393.PP.1016052.1350"),"(kliknij lub Ctrl+kliknij)")</f>
        <v>(kliknij lub Ctrl+kliknij)</v>
      </c>
      <c r="H1214" s="0" t="s">
        <v>908</v>
      </c>
    </row>
    <row r="1215" customFormat="false" ht="12.8" hidden="false" customHeight="false" outlineLevel="0" collapsed="false">
      <c r="A1215" s="1" t="s">
        <v>569</v>
      </c>
      <c r="B1215" s="2" t="s">
        <v>928</v>
      </c>
      <c r="C1215" s="3" t="s">
        <v>582</v>
      </c>
      <c r="D1215" s="4" t="s">
        <v>571</v>
      </c>
      <c r="F1215" s="6" t="s">
        <v>774</v>
      </c>
      <c r="G1215" s="7" t="str">
        <f aca="false">HYPERLINK(CONCATENATE("http://crfop.gdos.gov.pl/CRFOP/widok/viewpomnikprzyrody.jsf?fop=","PL.ZIPOP.1393.PP.1016052.1351"),"(kliknij lub Ctrl+kliknij)")</f>
        <v>(kliknij lub Ctrl+kliknij)</v>
      </c>
      <c r="H1215" s="0" t="s">
        <v>908</v>
      </c>
    </row>
    <row r="1216" customFormat="false" ht="12.8" hidden="false" customHeight="false" outlineLevel="0" collapsed="false">
      <c r="A1216" s="1" t="s">
        <v>569</v>
      </c>
      <c r="B1216" s="2" t="s">
        <v>267</v>
      </c>
      <c r="C1216" s="3" t="s">
        <v>582</v>
      </c>
      <c r="D1216" s="4" t="s">
        <v>571</v>
      </c>
      <c r="F1216" s="6" t="s">
        <v>774</v>
      </c>
      <c r="G1216" s="7" t="str">
        <f aca="false">HYPERLINK(CONCATENATE("http://crfop.gdos.gov.pl/CRFOP/widok/viewpomnikprzyrody.jsf?fop=","PL.ZIPOP.1393.PP.1016052.1352"),"(kliknij lub Ctrl+kliknij)")</f>
        <v>(kliknij lub Ctrl+kliknij)</v>
      </c>
      <c r="H1216" s="0" t="s">
        <v>908</v>
      </c>
    </row>
    <row r="1217" customFormat="false" ht="12.8" hidden="false" customHeight="false" outlineLevel="0" collapsed="false">
      <c r="A1217" s="1" t="s">
        <v>569</v>
      </c>
      <c r="B1217" s="2" t="s">
        <v>929</v>
      </c>
      <c r="C1217" s="3" t="s">
        <v>912</v>
      </c>
      <c r="D1217" s="4" t="s">
        <v>571</v>
      </c>
      <c r="F1217" s="6" t="s">
        <v>913</v>
      </c>
      <c r="G1217" s="7" t="str">
        <f aca="false">HYPERLINK(CONCATENATE("http://crfop.gdos.gov.pl/CRFOP/widok/viewpomnikprzyrody.jsf?fop=","PL.ZIPOP.1393.PP.1016052.3053"),"(kliknij lub Ctrl+kliknij)")</f>
        <v>(kliknij lub Ctrl+kliknij)</v>
      </c>
      <c r="H1217" s="0" t="s">
        <v>908</v>
      </c>
    </row>
    <row r="1218" customFormat="false" ht="12.8" hidden="false" customHeight="false" outlineLevel="0" collapsed="false">
      <c r="A1218" s="1" t="s">
        <v>569</v>
      </c>
      <c r="C1218" s="3" t="s">
        <v>570</v>
      </c>
      <c r="D1218" s="4" t="s">
        <v>571</v>
      </c>
      <c r="F1218" s="6" t="s">
        <v>572</v>
      </c>
      <c r="G1218" s="7" t="str">
        <f aca="false">HYPERLINK(CONCATENATE("http://crfop.gdos.gov.pl/CRFOP/widok/viewpomnikprzyrody.jsf?fop=","PL.ZIPOP.1393.PP.1016062.1336"),"(kliknij lub Ctrl+kliknij)")</f>
        <v>(kliknij lub Ctrl+kliknij)</v>
      </c>
      <c r="H1218" s="0" t="s">
        <v>930</v>
      </c>
    </row>
    <row r="1219" customFormat="false" ht="12.8" hidden="false" customHeight="false" outlineLevel="0" collapsed="false">
      <c r="A1219" s="1" t="s">
        <v>569</v>
      </c>
      <c r="C1219" s="3" t="s">
        <v>574</v>
      </c>
      <c r="D1219" s="4" t="s">
        <v>571</v>
      </c>
      <c r="F1219" s="6" t="s">
        <v>575</v>
      </c>
      <c r="G1219" s="7" t="str">
        <f aca="false">HYPERLINK(CONCATENATE("http://crfop.gdos.gov.pl/CRFOP/widok/viewpomnikprzyrody.jsf?fop=","PL.ZIPOP.1393.PP.1016062.1337"),"(kliknij lub Ctrl+kliknij)")</f>
        <v>(kliknij lub Ctrl+kliknij)</v>
      </c>
      <c r="H1219" s="0" t="s">
        <v>930</v>
      </c>
    </row>
    <row r="1220" customFormat="false" ht="12.8" hidden="false" customHeight="false" outlineLevel="0" collapsed="false">
      <c r="A1220" s="1" t="s">
        <v>569</v>
      </c>
      <c r="C1220" s="3" t="s">
        <v>574</v>
      </c>
      <c r="D1220" s="4" t="s">
        <v>571</v>
      </c>
      <c r="F1220" s="6" t="s">
        <v>575</v>
      </c>
      <c r="G1220" s="7" t="str">
        <f aca="false">HYPERLINK(CONCATENATE("http://crfop.gdos.gov.pl/CRFOP/widok/viewpomnikprzyrody.jsf?fop=","PL.ZIPOP.1393.PP.1016062.1339"),"(kliknij lub Ctrl+kliknij)")</f>
        <v>(kliknij lub Ctrl+kliknij)</v>
      </c>
      <c r="H1220" s="0" t="s">
        <v>930</v>
      </c>
    </row>
    <row r="1221" customFormat="false" ht="12.8" hidden="false" customHeight="false" outlineLevel="0" collapsed="false">
      <c r="A1221" s="1" t="s">
        <v>569</v>
      </c>
      <c r="B1221" s="2" t="s">
        <v>931</v>
      </c>
      <c r="C1221" s="3" t="s">
        <v>582</v>
      </c>
      <c r="D1221" s="4" t="s">
        <v>571</v>
      </c>
      <c r="F1221" s="6" t="s">
        <v>774</v>
      </c>
      <c r="G1221" s="7" t="str">
        <f aca="false">HYPERLINK(CONCATENATE("http://crfop.gdos.gov.pl/CRFOP/widok/viewpomnikprzyrody.jsf?fop=","PL.ZIPOP.1393.PP.1016062.1342"),"(kliknij lub Ctrl+kliknij)")</f>
        <v>(kliknij lub Ctrl+kliknij)</v>
      </c>
      <c r="H1221" s="0" t="s">
        <v>930</v>
      </c>
    </row>
    <row r="1222" customFormat="false" ht="12.8" hidden="false" customHeight="false" outlineLevel="0" collapsed="false">
      <c r="A1222" s="1" t="s">
        <v>569</v>
      </c>
      <c r="B1222" s="2" t="s">
        <v>932</v>
      </c>
      <c r="C1222" s="3" t="s">
        <v>582</v>
      </c>
      <c r="D1222" s="4" t="s">
        <v>571</v>
      </c>
      <c r="F1222" s="6" t="s">
        <v>774</v>
      </c>
      <c r="G1222" s="7" t="str">
        <f aca="false">HYPERLINK(CONCATENATE("http://crfop.gdos.gov.pl/CRFOP/widok/viewpomnikprzyrody.jsf?fop=","PL.ZIPOP.1393.PP.1016062.1343"),"(kliknij lub Ctrl+kliknij)")</f>
        <v>(kliknij lub Ctrl+kliknij)</v>
      </c>
      <c r="H1222" s="0" t="s">
        <v>930</v>
      </c>
    </row>
    <row r="1223" customFormat="false" ht="12.8" hidden="false" customHeight="false" outlineLevel="0" collapsed="false">
      <c r="A1223" s="1" t="s">
        <v>569</v>
      </c>
      <c r="B1223" s="2" t="s">
        <v>933</v>
      </c>
      <c r="C1223" s="3" t="s">
        <v>582</v>
      </c>
      <c r="D1223" s="4" t="s">
        <v>571</v>
      </c>
      <c r="F1223" s="6" t="s">
        <v>774</v>
      </c>
      <c r="G1223" s="7" t="str">
        <f aca="false">HYPERLINK(CONCATENATE("http://crfop.gdos.gov.pl/CRFOP/widok/viewpomnikprzyrody.jsf?fop=","PL.ZIPOP.1393.PP.1016062.1346"),"(kliknij lub Ctrl+kliknij)")</f>
        <v>(kliknij lub Ctrl+kliknij)</v>
      </c>
      <c r="H1223" s="0" t="s">
        <v>930</v>
      </c>
    </row>
    <row r="1224" customFormat="false" ht="12.8" hidden="false" customHeight="false" outlineLevel="0" collapsed="false">
      <c r="A1224" s="1" t="s">
        <v>569</v>
      </c>
      <c r="B1224" s="2" t="s">
        <v>934</v>
      </c>
      <c r="C1224" s="3" t="s">
        <v>582</v>
      </c>
      <c r="D1224" s="4" t="s">
        <v>571</v>
      </c>
      <c r="F1224" s="6" t="s">
        <v>774</v>
      </c>
      <c r="G1224" s="7" t="str">
        <f aca="false">HYPERLINK(CONCATENATE("http://crfop.gdos.gov.pl/CRFOP/widok/viewpomnikprzyrody.jsf?fop=","PL.ZIPOP.1393.PP.1016062.1347"),"(kliknij lub Ctrl+kliknij)")</f>
        <v>(kliknij lub Ctrl+kliknij)</v>
      </c>
      <c r="H1224" s="0" t="s">
        <v>930</v>
      </c>
    </row>
    <row r="1225" customFormat="false" ht="12.8" hidden="false" customHeight="false" outlineLevel="0" collapsed="false">
      <c r="A1225" s="1" t="s">
        <v>569</v>
      </c>
      <c r="B1225" s="2" t="s">
        <v>935</v>
      </c>
      <c r="C1225" s="3" t="s">
        <v>582</v>
      </c>
      <c r="D1225" s="4" t="s">
        <v>571</v>
      </c>
      <c r="F1225" s="6" t="s">
        <v>774</v>
      </c>
      <c r="G1225" s="7" t="str">
        <f aca="false">HYPERLINK(CONCATENATE("http://crfop.gdos.gov.pl/CRFOP/widok/viewpomnikprzyrody.jsf?fop=","PL.ZIPOP.1393.PP.1016062.1348"),"(kliknij lub Ctrl+kliknij)")</f>
        <v>(kliknij lub Ctrl+kliknij)</v>
      </c>
      <c r="H1225" s="0" t="s">
        <v>930</v>
      </c>
    </row>
    <row r="1226" customFormat="false" ht="12.8" hidden="false" customHeight="false" outlineLevel="0" collapsed="false">
      <c r="A1226" s="1" t="s">
        <v>569</v>
      </c>
      <c r="B1226" s="2" t="s">
        <v>936</v>
      </c>
      <c r="C1226" s="3" t="s">
        <v>937</v>
      </c>
      <c r="D1226" s="4" t="s">
        <v>571</v>
      </c>
      <c r="F1226" s="6" t="s">
        <v>774</v>
      </c>
      <c r="G1226" s="7" t="str">
        <f aca="false">HYPERLINK(CONCATENATE("http://crfop.gdos.gov.pl/CRFOP/widok/viewpomnikprzyrody.jsf?fop=","PL.ZIPOP.1393.PP.1016062.1353"),"(kliknij lub Ctrl+kliknij)")</f>
        <v>(kliknij lub Ctrl+kliknij)</v>
      </c>
      <c r="H1226" s="0" t="s">
        <v>930</v>
      </c>
    </row>
    <row r="1227" customFormat="false" ht="12.8" hidden="false" customHeight="false" outlineLevel="0" collapsed="false">
      <c r="A1227" s="1" t="s">
        <v>569</v>
      </c>
      <c r="B1227" s="2" t="s">
        <v>938</v>
      </c>
      <c r="C1227" s="3" t="s">
        <v>723</v>
      </c>
      <c r="D1227" s="4" t="s">
        <v>571</v>
      </c>
      <c r="F1227" s="6" t="s">
        <v>724</v>
      </c>
      <c r="G1227" s="7" t="str">
        <f aca="false">HYPERLINK(CONCATENATE("http://crfop.gdos.gov.pl/CRFOP/widok/viewpomnikprzyrody.jsf?fop=","PL.ZIPOP.1393.PP.1016062.1354"),"(kliknij lub Ctrl+kliknij)")</f>
        <v>(kliknij lub Ctrl+kliknij)</v>
      </c>
      <c r="H1227" s="0" t="s">
        <v>930</v>
      </c>
    </row>
    <row r="1228" customFormat="false" ht="12.8" hidden="false" customHeight="false" outlineLevel="0" collapsed="false">
      <c r="A1228" s="1" t="s">
        <v>569</v>
      </c>
      <c r="B1228" s="2" t="s">
        <v>638</v>
      </c>
      <c r="C1228" s="3" t="s">
        <v>939</v>
      </c>
      <c r="D1228" s="4" t="s">
        <v>571</v>
      </c>
      <c r="F1228" s="6" t="s">
        <v>940</v>
      </c>
      <c r="G1228" s="7" t="str">
        <f aca="false">HYPERLINK(CONCATENATE("http://crfop.gdos.gov.pl/CRFOP/widok/viewpomnikprzyrody.jsf?fop=","PL.ZIPOP.1393.PP.1016062.1355"),"(kliknij lub Ctrl+kliknij)")</f>
        <v>(kliknij lub Ctrl+kliknij)</v>
      </c>
      <c r="H1228" s="0" t="s">
        <v>930</v>
      </c>
    </row>
    <row r="1229" customFormat="false" ht="12.8" hidden="false" customHeight="false" outlineLevel="0" collapsed="false">
      <c r="A1229" s="1" t="s">
        <v>569</v>
      </c>
      <c r="B1229" s="2" t="s">
        <v>941</v>
      </c>
      <c r="C1229" s="3" t="s">
        <v>939</v>
      </c>
      <c r="D1229" s="4" t="s">
        <v>571</v>
      </c>
      <c r="F1229" s="6" t="s">
        <v>940</v>
      </c>
      <c r="G1229" s="7" t="str">
        <f aca="false">HYPERLINK(CONCATENATE("http://crfop.gdos.gov.pl/CRFOP/widok/viewpomnikprzyrody.jsf?fop=","PL.ZIPOP.1393.PP.1016062.1356"),"(kliknij lub Ctrl+kliknij)")</f>
        <v>(kliknij lub Ctrl+kliknij)</v>
      </c>
      <c r="H1229" s="0" t="s">
        <v>930</v>
      </c>
    </row>
    <row r="1230" customFormat="false" ht="12.8" hidden="false" customHeight="false" outlineLevel="0" collapsed="false">
      <c r="A1230" s="1" t="s">
        <v>569</v>
      </c>
      <c r="B1230" s="2" t="s">
        <v>942</v>
      </c>
      <c r="C1230" s="3" t="s">
        <v>939</v>
      </c>
      <c r="D1230" s="4" t="s">
        <v>571</v>
      </c>
      <c r="F1230" s="6" t="s">
        <v>940</v>
      </c>
      <c r="G1230" s="7" t="str">
        <f aca="false">HYPERLINK(CONCATENATE("http://crfop.gdos.gov.pl/CRFOP/widok/viewpomnikprzyrody.jsf?fop=","PL.ZIPOP.1393.PP.1016062.1357"),"(kliknij lub Ctrl+kliknij)")</f>
        <v>(kliknij lub Ctrl+kliknij)</v>
      </c>
      <c r="H1230" s="0" t="s">
        <v>930</v>
      </c>
    </row>
    <row r="1231" customFormat="false" ht="12.8" hidden="false" customHeight="false" outlineLevel="0" collapsed="false">
      <c r="A1231" s="1" t="s">
        <v>569</v>
      </c>
      <c r="B1231" s="2" t="s">
        <v>943</v>
      </c>
      <c r="C1231" s="3" t="s">
        <v>939</v>
      </c>
      <c r="D1231" s="4" t="s">
        <v>571</v>
      </c>
      <c r="F1231" s="6" t="s">
        <v>940</v>
      </c>
      <c r="G1231" s="7" t="str">
        <f aca="false">HYPERLINK(CONCATENATE("http://crfop.gdos.gov.pl/CRFOP/widok/viewpomnikprzyrody.jsf?fop=","PL.ZIPOP.1393.PP.1016062.1358"),"(kliknij lub Ctrl+kliknij)")</f>
        <v>(kliknij lub Ctrl+kliknij)</v>
      </c>
      <c r="H1231" s="0" t="s">
        <v>930</v>
      </c>
    </row>
    <row r="1232" customFormat="false" ht="12.8" hidden="false" customHeight="false" outlineLevel="0" collapsed="false">
      <c r="A1232" s="1" t="s">
        <v>569</v>
      </c>
      <c r="B1232" s="2" t="s">
        <v>944</v>
      </c>
      <c r="C1232" s="3" t="s">
        <v>939</v>
      </c>
      <c r="D1232" s="4" t="s">
        <v>571</v>
      </c>
      <c r="F1232" s="6" t="s">
        <v>940</v>
      </c>
      <c r="G1232" s="7" t="str">
        <f aca="false">HYPERLINK(CONCATENATE("http://crfop.gdos.gov.pl/CRFOP/widok/viewpomnikprzyrody.jsf?fop=","PL.ZIPOP.1393.PP.1016062.1359"),"(kliknij lub Ctrl+kliknij)")</f>
        <v>(kliknij lub Ctrl+kliknij)</v>
      </c>
      <c r="H1232" s="0" t="s">
        <v>930</v>
      </c>
    </row>
    <row r="1233" customFormat="false" ht="12.8" hidden="false" customHeight="false" outlineLevel="0" collapsed="false">
      <c r="A1233" s="1" t="s">
        <v>569</v>
      </c>
      <c r="C1233" s="3" t="s">
        <v>570</v>
      </c>
      <c r="D1233" s="4" t="s">
        <v>571</v>
      </c>
      <c r="F1233" s="6" t="s">
        <v>572</v>
      </c>
      <c r="G1233" s="7" t="str">
        <f aca="false">HYPERLINK(CONCATENATE("http://crfop.gdos.gov.pl/CRFOP/widok/viewpomnikprzyrody.jsf?fop=","PL.ZIPOP.1393.PP.1016072.1370"),"(kliknij lub Ctrl+kliknij)")</f>
        <v>(kliknij lub Ctrl+kliknij)</v>
      </c>
      <c r="H1233" s="0" t="s">
        <v>945</v>
      </c>
    </row>
    <row r="1234" customFormat="false" ht="12.8" hidden="false" customHeight="false" outlineLevel="0" collapsed="false">
      <c r="A1234" s="1" t="s">
        <v>569</v>
      </c>
      <c r="B1234" s="2" t="s">
        <v>946</v>
      </c>
      <c r="C1234" s="3" t="s">
        <v>582</v>
      </c>
      <c r="D1234" s="4" t="s">
        <v>571</v>
      </c>
      <c r="F1234" s="6" t="s">
        <v>774</v>
      </c>
      <c r="G1234" s="7" t="str">
        <f aca="false">HYPERLINK(CONCATENATE("http://crfop.gdos.gov.pl/CRFOP/widok/viewpomnikprzyrody.jsf?fop=","PL.ZIPOP.1393.PP.1016082.1271"),"(kliknij lub Ctrl+kliknij)")</f>
        <v>(kliknij lub Ctrl+kliknij)</v>
      </c>
      <c r="H1234" s="0" t="s">
        <v>947</v>
      </c>
    </row>
    <row r="1235" customFormat="false" ht="12.8" hidden="false" customHeight="false" outlineLevel="0" collapsed="false">
      <c r="A1235" s="1" t="s">
        <v>569</v>
      </c>
      <c r="C1235" s="3" t="s">
        <v>574</v>
      </c>
      <c r="D1235" s="4" t="s">
        <v>571</v>
      </c>
      <c r="F1235" s="6" t="s">
        <v>575</v>
      </c>
      <c r="G1235" s="7" t="str">
        <f aca="false">HYPERLINK(CONCATENATE("http://crfop.gdos.gov.pl/CRFOP/widok/viewpomnikprzyrody.jsf?fop=","PL.ZIPOP.1393.PP.1016082.1326"),"(kliknij lub Ctrl+kliknij)")</f>
        <v>(kliknij lub Ctrl+kliknij)</v>
      </c>
      <c r="H1235" s="0" t="s">
        <v>947</v>
      </c>
    </row>
    <row r="1236" customFormat="false" ht="12.8" hidden="false" customHeight="false" outlineLevel="0" collapsed="false">
      <c r="A1236" s="1" t="s">
        <v>569</v>
      </c>
      <c r="C1236" s="3" t="s">
        <v>570</v>
      </c>
      <c r="D1236" s="4" t="s">
        <v>571</v>
      </c>
      <c r="F1236" s="6" t="s">
        <v>572</v>
      </c>
      <c r="G1236" s="7" t="str">
        <f aca="false">HYPERLINK(CONCATENATE("http://crfop.gdos.gov.pl/CRFOP/widok/viewpomnikprzyrody.jsf?fop=","PL.ZIPOP.1393.PP.1016082.1327"),"(kliknij lub Ctrl+kliknij)")</f>
        <v>(kliknij lub Ctrl+kliknij)</v>
      </c>
      <c r="H1236" s="0" t="s">
        <v>947</v>
      </c>
    </row>
    <row r="1237" customFormat="false" ht="12.8" hidden="false" customHeight="false" outlineLevel="0" collapsed="false">
      <c r="A1237" s="1" t="s">
        <v>569</v>
      </c>
      <c r="C1237" s="3" t="s">
        <v>574</v>
      </c>
      <c r="D1237" s="4" t="s">
        <v>571</v>
      </c>
      <c r="F1237" s="6" t="s">
        <v>575</v>
      </c>
      <c r="G1237" s="7" t="str">
        <f aca="false">HYPERLINK(CONCATENATE("http://crfop.gdos.gov.pl/CRFOP/widok/viewpomnikprzyrody.jsf?fop=","PL.ZIPOP.1393.PP.1016082.1328"),"(kliknij lub Ctrl+kliknij)")</f>
        <v>(kliknij lub Ctrl+kliknij)</v>
      </c>
      <c r="H1237" s="0" t="s">
        <v>947</v>
      </c>
    </row>
    <row r="1238" customFormat="false" ht="12.8" hidden="false" customHeight="false" outlineLevel="0" collapsed="false">
      <c r="A1238" s="1" t="s">
        <v>569</v>
      </c>
      <c r="C1238" s="3" t="s">
        <v>574</v>
      </c>
      <c r="D1238" s="4" t="s">
        <v>571</v>
      </c>
      <c r="F1238" s="6" t="s">
        <v>575</v>
      </c>
      <c r="G1238" s="7" t="str">
        <f aca="false">HYPERLINK(CONCATENATE("http://crfop.gdos.gov.pl/CRFOP/widok/viewpomnikprzyrody.jsf?fop=","PL.ZIPOP.1393.PP.1016082.1329"),"(kliknij lub Ctrl+kliknij)")</f>
        <v>(kliknij lub Ctrl+kliknij)</v>
      </c>
      <c r="H1238" s="0" t="s">
        <v>947</v>
      </c>
    </row>
    <row r="1239" customFormat="false" ht="12.8" hidden="false" customHeight="false" outlineLevel="0" collapsed="false">
      <c r="A1239" s="1" t="s">
        <v>569</v>
      </c>
      <c r="C1239" s="3" t="s">
        <v>574</v>
      </c>
      <c r="D1239" s="4" t="s">
        <v>571</v>
      </c>
      <c r="F1239" s="6" t="s">
        <v>575</v>
      </c>
      <c r="G1239" s="7" t="str">
        <f aca="false">HYPERLINK(CONCATENATE("http://crfop.gdos.gov.pl/CRFOP/widok/viewpomnikprzyrody.jsf?fop=","PL.ZIPOP.1393.PP.1016082.1330"),"(kliknij lub Ctrl+kliknij)")</f>
        <v>(kliknij lub Ctrl+kliknij)</v>
      </c>
      <c r="H1239" s="0" t="s">
        <v>947</v>
      </c>
    </row>
    <row r="1240" customFormat="false" ht="12.8" hidden="false" customHeight="false" outlineLevel="0" collapsed="false">
      <c r="A1240" s="1" t="s">
        <v>569</v>
      </c>
      <c r="C1240" s="3" t="s">
        <v>574</v>
      </c>
      <c r="D1240" s="4" t="s">
        <v>571</v>
      </c>
      <c r="F1240" s="6" t="s">
        <v>575</v>
      </c>
      <c r="G1240" s="7" t="str">
        <f aca="false">HYPERLINK(CONCATENATE("http://crfop.gdos.gov.pl/CRFOP/widok/viewpomnikprzyrody.jsf?fop=","PL.ZIPOP.1393.PP.1016082.1331"),"(kliknij lub Ctrl+kliknij)")</f>
        <v>(kliknij lub Ctrl+kliknij)</v>
      </c>
      <c r="H1240" s="0" t="s">
        <v>947</v>
      </c>
    </row>
    <row r="1241" customFormat="false" ht="12.8" hidden="false" customHeight="false" outlineLevel="0" collapsed="false">
      <c r="A1241" s="1" t="s">
        <v>569</v>
      </c>
      <c r="C1241" s="3" t="s">
        <v>570</v>
      </c>
      <c r="D1241" s="4" t="s">
        <v>571</v>
      </c>
      <c r="F1241" s="6" t="s">
        <v>572</v>
      </c>
      <c r="G1241" s="7" t="str">
        <f aca="false">HYPERLINK(CONCATENATE("http://crfop.gdos.gov.pl/CRFOP/widok/viewpomnikprzyrody.jsf?fop=","PL.ZIPOP.1393.PP.1016082.1332"),"(kliknij lub Ctrl+kliknij)")</f>
        <v>(kliknij lub Ctrl+kliknij)</v>
      </c>
      <c r="H1241" s="0" t="s">
        <v>947</v>
      </c>
    </row>
    <row r="1242" customFormat="false" ht="12.8" hidden="false" customHeight="false" outlineLevel="0" collapsed="false">
      <c r="A1242" s="1" t="s">
        <v>569</v>
      </c>
      <c r="C1242" s="3" t="s">
        <v>570</v>
      </c>
      <c r="D1242" s="4" t="s">
        <v>571</v>
      </c>
      <c r="F1242" s="6" t="s">
        <v>572</v>
      </c>
      <c r="G1242" s="7" t="str">
        <f aca="false">HYPERLINK(CONCATENATE("http://crfop.gdos.gov.pl/CRFOP/widok/viewpomnikprzyrody.jsf?fop=","PL.ZIPOP.1393.PP.1016092.1314"),"(kliknij lub Ctrl+kliknij)")</f>
        <v>(kliknij lub Ctrl+kliknij)</v>
      </c>
      <c r="H1242" s="0" t="s">
        <v>902</v>
      </c>
    </row>
    <row r="1243" customFormat="false" ht="12.8" hidden="false" customHeight="false" outlineLevel="0" collapsed="false">
      <c r="A1243" s="1" t="s">
        <v>569</v>
      </c>
      <c r="C1243" s="3" t="s">
        <v>574</v>
      </c>
      <c r="D1243" s="4" t="s">
        <v>571</v>
      </c>
      <c r="F1243" s="6" t="s">
        <v>575</v>
      </c>
      <c r="G1243" s="7" t="str">
        <f aca="false">HYPERLINK(CONCATENATE("http://crfop.gdos.gov.pl/CRFOP/widok/viewpomnikprzyrody.jsf?fop=","PL.ZIPOP.1393.PP.1016092.1317"),"(kliknij lub Ctrl+kliknij)")</f>
        <v>(kliknij lub Ctrl+kliknij)</v>
      </c>
      <c r="H1243" s="0" t="s">
        <v>902</v>
      </c>
    </row>
    <row r="1244" customFormat="false" ht="12.8" hidden="false" customHeight="false" outlineLevel="0" collapsed="false">
      <c r="A1244" s="1" t="s">
        <v>569</v>
      </c>
      <c r="C1244" s="3" t="s">
        <v>948</v>
      </c>
      <c r="D1244" s="4" t="s">
        <v>571</v>
      </c>
      <c r="F1244" s="6" t="s">
        <v>592</v>
      </c>
      <c r="G1244" s="7" t="str">
        <f aca="false">HYPERLINK(CONCATENATE("http://crfop.gdos.gov.pl/CRFOP/widok/viewpomnikprzyrody.jsf?fop=","PL.ZIPOP.1393.PP.1016102.1369"),"(kliknij lub Ctrl+kliknij)")</f>
        <v>(kliknij lub Ctrl+kliknij)</v>
      </c>
      <c r="H1244" s="0" t="s">
        <v>949</v>
      </c>
    </row>
    <row r="1245" customFormat="false" ht="12.8" hidden="false" customHeight="false" outlineLevel="0" collapsed="false">
      <c r="A1245" s="1" t="s">
        <v>569</v>
      </c>
      <c r="C1245" s="3" t="s">
        <v>584</v>
      </c>
      <c r="D1245" s="4" t="s">
        <v>571</v>
      </c>
      <c r="F1245" s="6" t="s">
        <v>585</v>
      </c>
      <c r="G1245" s="7" t="str">
        <f aca="false">HYPERLINK(CONCATENATE("http://crfop.gdos.gov.pl/CRFOP/widok/viewpomnikprzyrody.jsf?fop=","PL.ZIPOP.1393.PP.1017012.2033"),"(kliknij lub Ctrl+kliknij)")</f>
        <v>(kliknij lub Ctrl+kliknij)</v>
      </c>
      <c r="H1245" s="0" t="s">
        <v>950</v>
      </c>
    </row>
    <row r="1246" customFormat="false" ht="12.8" hidden="false" customHeight="false" outlineLevel="0" collapsed="false">
      <c r="A1246" s="1" t="s">
        <v>569</v>
      </c>
      <c r="C1246" s="3" t="s">
        <v>584</v>
      </c>
      <c r="D1246" s="4" t="s">
        <v>571</v>
      </c>
      <c r="F1246" s="6" t="s">
        <v>585</v>
      </c>
      <c r="G1246" s="7" t="str">
        <f aca="false">HYPERLINK(CONCATENATE("http://crfop.gdos.gov.pl/CRFOP/widok/viewpomnikprzyrody.jsf?fop=","PL.ZIPOP.1393.PP.1017012.2034"),"(kliknij lub Ctrl+kliknij)")</f>
        <v>(kliknij lub Ctrl+kliknij)</v>
      </c>
      <c r="H1246" s="0" t="s">
        <v>950</v>
      </c>
    </row>
    <row r="1247" customFormat="false" ht="12.8" hidden="false" customHeight="false" outlineLevel="0" collapsed="false">
      <c r="A1247" s="1" t="s">
        <v>569</v>
      </c>
      <c r="C1247" s="3" t="s">
        <v>584</v>
      </c>
      <c r="D1247" s="4" t="s">
        <v>571</v>
      </c>
      <c r="F1247" s="6" t="s">
        <v>585</v>
      </c>
      <c r="G1247" s="7" t="str">
        <f aca="false">HYPERLINK(CONCATENATE("http://crfop.gdos.gov.pl/CRFOP/widok/viewpomnikprzyrody.jsf?fop=","PL.ZIPOP.1393.PP.1017012.2036"),"(kliknij lub Ctrl+kliknij)")</f>
        <v>(kliknij lub Ctrl+kliknij)</v>
      </c>
      <c r="H1247" s="0" t="s">
        <v>950</v>
      </c>
    </row>
    <row r="1248" customFormat="false" ht="12.8" hidden="false" customHeight="false" outlineLevel="0" collapsed="false">
      <c r="A1248" s="1" t="s">
        <v>569</v>
      </c>
      <c r="C1248" s="3" t="s">
        <v>584</v>
      </c>
      <c r="D1248" s="4" t="s">
        <v>571</v>
      </c>
      <c r="F1248" s="6" t="s">
        <v>585</v>
      </c>
      <c r="G1248" s="7" t="str">
        <f aca="false">HYPERLINK(CONCATENATE("http://crfop.gdos.gov.pl/CRFOP/widok/viewpomnikprzyrody.jsf?fop=","PL.ZIPOP.1393.PP.1017012.2037"),"(kliknij lub Ctrl+kliknij)")</f>
        <v>(kliknij lub Ctrl+kliknij)</v>
      </c>
      <c r="H1248" s="0" t="s">
        <v>950</v>
      </c>
    </row>
    <row r="1249" customFormat="false" ht="12.8" hidden="false" customHeight="false" outlineLevel="0" collapsed="false">
      <c r="A1249" s="1" t="s">
        <v>569</v>
      </c>
      <c r="C1249" s="3" t="s">
        <v>584</v>
      </c>
      <c r="D1249" s="4" t="s">
        <v>571</v>
      </c>
      <c r="F1249" s="6" t="s">
        <v>585</v>
      </c>
      <c r="G1249" s="7" t="str">
        <f aca="false">HYPERLINK(CONCATENATE("http://crfop.gdos.gov.pl/CRFOP/widok/viewpomnikprzyrody.jsf?fop=","PL.ZIPOP.1393.PP.1017012.2038"),"(kliknij lub Ctrl+kliknij)")</f>
        <v>(kliknij lub Ctrl+kliknij)</v>
      </c>
      <c r="H1249" s="0" t="s">
        <v>950</v>
      </c>
    </row>
    <row r="1250" customFormat="false" ht="12.8" hidden="false" customHeight="false" outlineLevel="0" collapsed="false">
      <c r="A1250" s="1" t="s">
        <v>569</v>
      </c>
      <c r="C1250" s="3" t="s">
        <v>584</v>
      </c>
      <c r="D1250" s="4" t="s">
        <v>571</v>
      </c>
      <c r="F1250" s="6" t="s">
        <v>585</v>
      </c>
      <c r="G1250" s="7" t="str">
        <f aca="false">HYPERLINK(CONCATENATE("http://crfop.gdos.gov.pl/CRFOP/widok/viewpomnikprzyrody.jsf?fop=","PL.ZIPOP.1393.PP.1017012.2040"),"(kliknij lub Ctrl+kliknij)")</f>
        <v>(kliknij lub Ctrl+kliknij)</v>
      </c>
      <c r="H1250" s="0" t="s">
        <v>950</v>
      </c>
    </row>
    <row r="1251" customFormat="false" ht="12.8" hidden="false" customHeight="false" outlineLevel="0" collapsed="false">
      <c r="A1251" s="1" t="s">
        <v>569</v>
      </c>
      <c r="C1251" s="3" t="s">
        <v>584</v>
      </c>
      <c r="D1251" s="4" t="s">
        <v>571</v>
      </c>
      <c r="F1251" s="6" t="s">
        <v>585</v>
      </c>
      <c r="G1251" s="7" t="str">
        <f aca="false">HYPERLINK(CONCATENATE("http://crfop.gdos.gov.pl/CRFOP/widok/viewpomnikprzyrody.jsf?fop=","PL.ZIPOP.1393.PP.1017012.2041"),"(kliknij lub Ctrl+kliknij)")</f>
        <v>(kliknij lub Ctrl+kliknij)</v>
      </c>
      <c r="H1251" s="0" t="s">
        <v>950</v>
      </c>
    </row>
    <row r="1252" customFormat="false" ht="12.8" hidden="false" customHeight="false" outlineLevel="0" collapsed="false">
      <c r="A1252" s="1" t="s">
        <v>569</v>
      </c>
      <c r="C1252" s="3" t="s">
        <v>584</v>
      </c>
      <c r="D1252" s="4" t="s">
        <v>571</v>
      </c>
      <c r="F1252" s="6" t="s">
        <v>585</v>
      </c>
      <c r="G1252" s="7" t="str">
        <f aca="false">HYPERLINK(CONCATENATE("http://crfop.gdos.gov.pl/CRFOP/widok/viewpomnikprzyrody.jsf?fop=","PL.ZIPOP.1393.PP.1017012.2042"),"(kliknij lub Ctrl+kliknij)")</f>
        <v>(kliknij lub Ctrl+kliknij)</v>
      </c>
      <c r="H1252" s="0" t="s">
        <v>950</v>
      </c>
    </row>
    <row r="1253" customFormat="false" ht="12.8" hidden="false" customHeight="false" outlineLevel="0" collapsed="false">
      <c r="A1253" s="1" t="s">
        <v>569</v>
      </c>
      <c r="C1253" s="3" t="s">
        <v>584</v>
      </c>
      <c r="D1253" s="4" t="s">
        <v>571</v>
      </c>
      <c r="F1253" s="6" t="s">
        <v>585</v>
      </c>
      <c r="G1253" s="7" t="str">
        <f aca="false">HYPERLINK(CONCATENATE("http://crfop.gdos.gov.pl/CRFOP/widok/viewpomnikprzyrody.jsf?fop=","PL.ZIPOP.1393.PP.1017012.2043"),"(kliknij lub Ctrl+kliknij)")</f>
        <v>(kliknij lub Ctrl+kliknij)</v>
      </c>
      <c r="H1253" s="0" t="s">
        <v>950</v>
      </c>
    </row>
    <row r="1254" customFormat="false" ht="12.8" hidden="false" customHeight="false" outlineLevel="0" collapsed="false">
      <c r="A1254" s="1" t="s">
        <v>569</v>
      </c>
      <c r="C1254" s="3" t="s">
        <v>584</v>
      </c>
      <c r="D1254" s="4" t="s">
        <v>571</v>
      </c>
      <c r="F1254" s="6" t="s">
        <v>585</v>
      </c>
      <c r="G1254" s="7" t="str">
        <f aca="false">HYPERLINK(CONCATENATE("http://crfop.gdos.gov.pl/CRFOP/widok/viewpomnikprzyrody.jsf?fop=","PL.ZIPOP.1393.PP.1017012.2046"),"(kliknij lub Ctrl+kliknij)")</f>
        <v>(kliknij lub Ctrl+kliknij)</v>
      </c>
      <c r="H1254" s="0" t="s">
        <v>950</v>
      </c>
    </row>
    <row r="1255" customFormat="false" ht="12.8" hidden="false" customHeight="false" outlineLevel="0" collapsed="false">
      <c r="A1255" s="1" t="s">
        <v>569</v>
      </c>
      <c r="C1255" s="3" t="s">
        <v>584</v>
      </c>
      <c r="D1255" s="4" t="s">
        <v>571</v>
      </c>
      <c r="F1255" s="6" t="s">
        <v>585</v>
      </c>
      <c r="G1255" s="7" t="str">
        <f aca="false">HYPERLINK(CONCATENATE("http://crfop.gdos.gov.pl/CRFOP/widok/viewpomnikprzyrody.jsf?fop=","PL.ZIPOP.1393.PP.1017022.2047"),"(kliknij lub Ctrl+kliknij)")</f>
        <v>(kliknij lub Ctrl+kliknij)</v>
      </c>
      <c r="H1255" s="0" t="s">
        <v>951</v>
      </c>
    </row>
    <row r="1256" customFormat="false" ht="12.8" hidden="false" customHeight="false" outlineLevel="0" collapsed="false">
      <c r="A1256" s="1" t="s">
        <v>569</v>
      </c>
      <c r="C1256" s="3" t="s">
        <v>584</v>
      </c>
      <c r="D1256" s="4" t="s">
        <v>571</v>
      </c>
      <c r="F1256" s="6" t="s">
        <v>585</v>
      </c>
      <c r="G1256" s="7" t="str">
        <f aca="false">HYPERLINK(CONCATENATE("http://crfop.gdos.gov.pl/CRFOP/widok/viewpomnikprzyrody.jsf?fop=","PL.ZIPOP.1393.PP.1017022.2048"),"(kliknij lub Ctrl+kliknij)")</f>
        <v>(kliknij lub Ctrl+kliknij)</v>
      </c>
      <c r="H1256" s="0" t="s">
        <v>951</v>
      </c>
    </row>
    <row r="1257" customFormat="false" ht="12.8" hidden="false" customHeight="false" outlineLevel="0" collapsed="false">
      <c r="A1257" s="1" t="s">
        <v>569</v>
      </c>
      <c r="C1257" s="3" t="s">
        <v>584</v>
      </c>
      <c r="D1257" s="4" t="s">
        <v>571</v>
      </c>
      <c r="F1257" s="6" t="s">
        <v>585</v>
      </c>
      <c r="G1257" s="7" t="str">
        <f aca="false">HYPERLINK(CONCATENATE("http://crfop.gdos.gov.pl/CRFOP/widok/viewpomnikprzyrody.jsf?fop=","PL.ZIPOP.1393.PP.1017022.2050"),"(kliknij lub Ctrl+kliknij)")</f>
        <v>(kliknij lub Ctrl+kliknij)</v>
      </c>
      <c r="H1257" s="0" t="s">
        <v>951</v>
      </c>
    </row>
    <row r="1258" customFormat="false" ht="12.8" hidden="false" customHeight="false" outlineLevel="0" collapsed="false">
      <c r="A1258" s="1" t="s">
        <v>569</v>
      </c>
      <c r="C1258" s="3" t="s">
        <v>584</v>
      </c>
      <c r="D1258" s="4" t="s">
        <v>571</v>
      </c>
      <c r="F1258" s="6" t="s">
        <v>585</v>
      </c>
      <c r="G1258" s="7" t="str">
        <f aca="false">HYPERLINK(CONCATENATE("http://crfop.gdos.gov.pl/CRFOP/widok/viewpomnikprzyrody.jsf?fop=","PL.ZIPOP.1393.PP.1017022.2051"),"(kliknij lub Ctrl+kliknij)")</f>
        <v>(kliknij lub Ctrl+kliknij)</v>
      </c>
      <c r="H1258" s="0" t="s">
        <v>951</v>
      </c>
    </row>
    <row r="1259" customFormat="false" ht="12.8" hidden="false" customHeight="false" outlineLevel="0" collapsed="false">
      <c r="A1259" s="1" t="s">
        <v>569</v>
      </c>
      <c r="C1259" s="3" t="s">
        <v>584</v>
      </c>
      <c r="D1259" s="4" t="s">
        <v>571</v>
      </c>
      <c r="F1259" s="6" t="s">
        <v>585</v>
      </c>
      <c r="G1259" s="7" t="str">
        <f aca="false">HYPERLINK(CONCATENATE("http://crfop.gdos.gov.pl/CRFOP/widok/viewpomnikprzyrody.jsf?fop=","PL.ZIPOP.1393.PP.1017022.2052"),"(kliknij lub Ctrl+kliknij)")</f>
        <v>(kliknij lub Ctrl+kliknij)</v>
      </c>
      <c r="H1259" s="0" t="s">
        <v>951</v>
      </c>
    </row>
    <row r="1260" customFormat="false" ht="12.8" hidden="false" customHeight="false" outlineLevel="0" collapsed="false">
      <c r="A1260" s="1" t="s">
        <v>569</v>
      </c>
      <c r="C1260" s="3" t="s">
        <v>584</v>
      </c>
      <c r="D1260" s="4" t="s">
        <v>571</v>
      </c>
      <c r="F1260" s="6" t="s">
        <v>585</v>
      </c>
      <c r="G1260" s="7" t="str">
        <f aca="false">HYPERLINK(CONCATENATE("http://crfop.gdos.gov.pl/CRFOP/widok/viewpomnikprzyrody.jsf?fop=","PL.ZIPOP.1393.PP.1017022.2053"),"(kliknij lub Ctrl+kliknij)")</f>
        <v>(kliknij lub Ctrl+kliknij)</v>
      </c>
      <c r="H1260" s="0" t="s">
        <v>951</v>
      </c>
    </row>
    <row r="1261" customFormat="false" ht="12.8" hidden="false" customHeight="false" outlineLevel="0" collapsed="false">
      <c r="A1261" s="1" t="s">
        <v>569</v>
      </c>
      <c r="C1261" s="3" t="s">
        <v>584</v>
      </c>
      <c r="D1261" s="4" t="s">
        <v>571</v>
      </c>
      <c r="F1261" s="6" t="s">
        <v>585</v>
      </c>
      <c r="G1261" s="7" t="str">
        <f aca="false">HYPERLINK(CONCATENATE("http://crfop.gdos.gov.pl/CRFOP/widok/viewpomnikprzyrody.jsf?fop=","PL.ZIPOP.1393.PP.1017032.2055"),"(kliknij lub Ctrl+kliknij)")</f>
        <v>(kliknij lub Ctrl+kliknij)</v>
      </c>
      <c r="H1261" s="0" t="s">
        <v>952</v>
      </c>
    </row>
    <row r="1262" customFormat="false" ht="12.8" hidden="false" customHeight="false" outlineLevel="0" collapsed="false">
      <c r="A1262" s="1" t="s">
        <v>569</v>
      </c>
      <c r="C1262" s="3" t="s">
        <v>584</v>
      </c>
      <c r="D1262" s="4" t="s">
        <v>571</v>
      </c>
      <c r="F1262" s="6" t="s">
        <v>585</v>
      </c>
      <c r="G1262" s="7" t="str">
        <f aca="false">HYPERLINK(CONCATENATE("http://crfop.gdos.gov.pl/CRFOP/widok/viewpomnikprzyrody.jsf?fop=","PL.ZIPOP.1393.PP.1017032.2056"),"(kliknij lub Ctrl+kliknij)")</f>
        <v>(kliknij lub Ctrl+kliknij)</v>
      </c>
      <c r="H1262" s="0" t="s">
        <v>952</v>
      </c>
    </row>
    <row r="1263" customFormat="false" ht="12.8" hidden="false" customHeight="false" outlineLevel="0" collapsed="false">
      <c r="A1263" s="1" t="s">
        <v>569</v>
      </c>
      <c r="C1263" s="3" t="s">
        <v>584</v>
      </c>
      <c r="D1263" s="4" t="s">
        <v>571</v>
      </c>
      <c r="F1263" s="6" t="s">
        <v>585</v>
      </c>
      <c r="G1263" s="7" t="str">
        <f aca="false">HYPERLINK(CONCATENATE("http://crfop.gdos.gov.pl/CRFOP/widok/viewpomnikprzyrody.jsf?fop=","PL.ZIPOP.1393.PP.1017032.2058"),"(kliknij lub Ctrl+kliknij)")</f>
        <v>(kliknij lub Ctrl+kliknij)</v>
      </c>
      <c r="H1263" s="0" t="s">
        <v>952</v>
      </c>
    </row>
    <row r="1264" customFormat="false" ht="12.8" hidden="false" customHeight="false" outlineLevel="0" collapsed="false">
      <c r="A1264" s="1" t="s">
        <v>569</v>
      </c>
      <c r="C1264" s="3" t="s">
        <v>584</v>
      </c>
      <c r="D1264" s="4" t="s">
        <v>571</v>
      </c>
      <c r="F1264" s="6" t="s">
        <v>585</v>
      </c>
      <c r="G1264" s="7" t="str">
        <f aca="false">HYPERLINK(CONCATENATE("http://crfop.gdos.gov.pl/CRFOP/widok/viewpomnikprzyrody.jsf?fop=","PL.ZIPOP.1393.PP.1017032.2059"),"(kliknij lub Ctrl+kliknij)")</f>
        <v>(kliknij lub Ctrl+kliknij)</v>
      </c>
      <c r="H1264" s="0" t="s">
        <v>952</v>
      </c>
    </row>
    <row r="1265" customFormat="false" ht="12.8" hidden="false" customHeight="false" outlineLevel="0" collapsed="false">
      <c r="A1265" s="1" t="s">
        <v>569</v>
      </c>
      <c r="C1265" s="3" t="s">
        <v>584</v>
      </c>
      <c r="D1265" s="4" t="s">
        <v>571</v>
      </c>
      <c r="F1265" s="6" t="s">
        <v>585</v>
      </c>
      <c r="G1265" s="7" t="str">
        <f aca="false">HYPERLINK(CONCATENATE("http://crfop.gdos.gov.pl/CRFOP/widok/viewpomnikprzyrody.jsf?fop=","PL.ZIPOP.1393.PP.1017032.2060"),"(kliknij lub Ctrl+kliknij)")</f>
        <v>(kliknij lub Ctrl+kliknij)</v>
      </c>
      <c r="H1265" s="0" t="s">
        <v>952</v>
      </c>
    </row>
    <row r="1266" customFormat="false" ht="12.8" hidden="false" customHeight="false" outlineLevel="0" collapsed="false">
      <c r="A1266" s="1" t="s">
        <v>569</v>
      </c>
      <c r="C1266" s="3" t="s">
        <v>584</v>
      </c>
      <c r="D1266" s="4" t="s">
        <v>571</v>
      </c>
      <c r="F1266" s="6" t="s">
        <v>585</v>
      </c>
      <c r="G1266" s="7" t="str">
        <f aca="false">HYPERLINK(CONCATENATE("http://crfop.gdos.gov.pl/CRFOP/widok/viewpomnikprzyrody.jsf?fop=","PL.ZIPOP.1393.PP.1017032.2063"),"(kliknij lub Ctrl+kliknij)")</f>
        <v>(kliknij lub Ctrl+kliknij)</v>
      </c>
      <c r="H1266" s="0" t="s">
        <v>952</v>
      </c>
    </row>
    <row r="1267" customFormat="false" ht="12.8" hidden="false" customHeight="false" outlineLevel="0" collapsed="false">
      <c r="A1267" s="1" t="s">
        <v>569</v>
      </c>
      <c r="C1267" s="3" t="s">
        <v>584</v>
      </c>
      <c r="D1267" s="4" t="s">
        <v>571</v>
      </c>
      <c r="F1267" s="6" t="s">
        <v>585</v>
      </c>
      <c r="G1267" s="7" t="str">
        <f aca="false">HYPERLINK(CONCATENATE("http://crfop.gdos.gov.pl/CRFOP/widok/viewpomnikprzyrody.jsf?fop=","PL.ZIPOP.1393.PP.1017032.2064"),"(kliknij lub Ctrl+kliknij)")</f>
        <v>(kliknij lub Ctrl+kliknij)</v>
      </c>
      <c r="H1267" s="0" t="s">
        <v>952</v>
      </c>
    </row>
    <row r="1268" customFormat="false" ht="12.8" hidden="false" customHeight="false" outlineLevel="0" collapsed="false">
      <c r="A1268" s="1" t="s">
        <v>569</v>
      </c>
      <c r="C1268" s="3" t="s">
        <v>584</v>
      </c>
      <c r="D1268" s="4" t="s">
        <v>571</v>
      </c>
      <c r="F1268" s="6" t="s">
        <v>585</v>
      </c>
      <c r="G1268" s="7" t="str">
        <f aca="false">HYPERLINK(CONCATENATE("http://crfop.gdos.gov.pl/CRFOP/widok/viewpomnikprzyrody.jsf?fop=","PL.ZIPOP.1393.PP.1017032.2066"),"(kliknij lub Ctrl+kliknij)")</f>
        <v>(kliknij lub Ctrl+kliknij)</v>
      </c>
      <c r="H1268" s="0" t="s">
        <v>952</v>
      </c>
    </row>
    <row r="1269" customFormat="false" ht="12.8" hidden="false" customHeight="false" outlineLevel="0" collapsed="false">
      <c r="A1269" s="1" t="s">
        <v>569</v>
      </c>
      <c r="C1269" s="3" t="s">
        <v>584</v>
      </c>
      <c r="D1269" s="4" t="s">
        <v>571</v>
      </c>
      <c r="F1269" s="6" t="s">
        <v>585</v>
      </c>
      <c r="G1269" s="7" t="str">
        <f aca="false">HYPERLINK(CONCATENATE("http://crfop.gdos.gov.pl/CRFOP/widok/viewpomnikprzyrody.jsf?fop=","PL.ZIPOP.1393.PP.1017032.2067"),"(kliknij lub Ctrl+kliknij)")</f>
        <v>(kliknij lub Ctrl+kliknij)</v>
      </c>
      <c r="H1269" s="0" t="s">
        <v>952</v>
      </c>
    </row>
    <row r="1270" customFormat="false" ht="12.8" hidden="false" customHeight="false" outlineLevel="0" collapsed="false">
      <c r="A1270" s="1" t="s">
        <v>569</v>
      </c>
      <c r="C1270" s="3" t="s">
        <v>584</v>
      </c>
      <c r="D1270" s="4" t="s">
        <v>571</v>
      </c>
      <c r="F1270" s="6" t="s">
        <v>585</v>
      </c>
      <c r="G1270" s="7" t="str">
        <f aca="false">HYPERLINK(CONCATENATE("http://crfop.gdos.gov.pl/CRFOP/widok/viewpomnikprzyrody.jsf?fop=","PL.ZIPOP.1393.PP.1017032.2068"),"(kliknij lub Ctrl+kliknij)")</f>
        <v>(kliknij lub Ctrl+kliknij)</v>
      </c>
      <c r="H1270" s="0" t="s">
        <v>952</v>
      </c>
    </row>
    <row r="1271" customFormat="false" ht="12.8" hidden="false" customHeight="false" outlineLevel="0" collapsed="false">
      <c r="A1271" s="1" t="s">
        <v>569</v>
      </c>
      <c r="C1271" s="3" t="s">
        <v>584</v>
      </c>
      <c r="D1271" s="4" t="s">
        <v>571</v>
      </c>
      <c r="F1271" s="6" t="s">
        <v>585</v>
      </c>
      <c r="G1271" s="7" t="str">
        <f aca="false">HYPERLINK(CONCATENATE("http://crfop.gdos.gov.pl/CRFOP/widok/viewpomnikprzyrody.jsf?fop=","PL.ZIPOP.1393.PP.1017032.2070"),"(kliknij lub Ctrl+kliknij)")</f>
        <v>(kliknij lub Ctrl+kliknij)</v>
      </c>
      <c r="H1271" s="0" t="s">
        <v>952</v>
      </c>
    </row>
    <row r="1272" customFormat="false" ht="12.8" hidden="false" customHeight="false" outlineLevel="0" collapsed="false">
      <c r="A1272" s="1" t="s">
        <v>569</v>
      </c>
      <c r="C1272" s="3" t="s">
        <v>584</v>
      </c>
      <c r="D1272" s="4" t="s">
        <v>571</v>
      </c>
      <c r="F1272" s="6" t="s">
        <v>585</v>
      </c>
      <c r="G1272" s="7" t="str">
        <f aca="false">HYPERLINK(CONCATENATE("http://crfop.gdos.gov.pl/CRFOP/widok/viewpomnikprzyrody.jsf?fop=","PL.ZIPOP.1393.PP.1017032.2071"),"(kliknij lub Ctrl+kliknij)")</f>
        <v>(kliknij lub Ctrl+kliknij)</v>
      </c>
      <c r="H1272" s="0" t="s">
        <v>952</v>
      </c>
    </row>
    <row r="1273" customFormat="false" ht="12.8" hidden="false" customHeight="false" outlineLevel="0" collapsed="false">
      <c r="A1273" s="1" t="s">
        <v>569</v>
      </c>
      <c r="C1273" s="3" t="s">
        <v>584</v>
      </c>
      <c r="D1273" s="4" t="s">
        <v>571</v>
      </c>
      <c r="F1273" s="6" t="s">
        <v>585</v>
      </c>
      <c r="G1273" s="7" t="str">
        <f aca="false">HYPERLINK(CONCATENATE("http://crfop.gdos.gov.pl/CRFOP/widok/viewpomnikprzyrody.jsf?fop=","PL.ZIPOP.1393.PP.1017042.2074"),"(kliknij lub Ctrl+kliknij)")</f>
        <v>(kliknij lub Ctrl+kliknij)</v>
      </c>
      <c r="H1273" s="0" t="s">
        <v>953</v>
      </c>
    </row>
    <row r="1274" customFormat="false" ht="12.8" hidden="false" customHeight="false" outlineLevel="0" collapsed="false">
      <c r="A1274" s="1" t="s">
        <v>569</v>
      </c>
      <c r="C1274" s="3" t="s">
        <v>584</v>
      </c>
      <c r="D1274" s="4" t="s">
        <v>571</v>
      </c>
      <c r="F1274" s="6" t="s">
        <v>585</v>
      </c>
      <c r="G1274" s="7" t="str">
        <f aca="false">HYPERLINK(CONCATENATE("http://crfop.gdos.gov.pl/CRFOP/widok/viewpomnikprzyrody.jsf?fop=","PL.ZIPOP.1393.PP.1017042.2075"),"(kliknij lub Ctrl+kliknij)")</f>
        <v>(kliknij lub Ctrl+kliknij)</v>
      </c>
      <c r="H1274" s="0" t="s">
        <v>953</v>
      </c>
    </row>
    <row r="1275" customFormat="false" ht="12.8" hidden="false" customHeight="false" outlineLevel="0" collapsed="false">
      <c r="A1275" s="1" t="s">
        <v>569</v>
      </c>
      <c r="C1275" s="3" t="s">
        <v>584</v>
      </c>
      <c r="D1275" s="4" t="s">
        <v>571</v>
      </c>
      <c r="F1275" s="6" t="s">
        <v>585</v>
      </c>
      <c r="G1275" s="7" t="str">
        <f aca="false">HYPERLINK(CONCATENATE("http://crfop.gdos.gov.pl/CRFOP/widok/viewpomnikprzyrody.jsf?fop=","PL.ZIPOP.1393.PP.1017042.2076"),"(kliknij lub Ctrl+kliknij)")</f>
        <v>(kliknij lub Ctrl+kliknij)</v>
      </c>
      <c r="H1275" s="0" t="s">
        <v>953</v>
      </c>
    </row>
    <row r="1276" customFormat="false" ht="12.8" hidden="false" customHeight="false" outlineLevel="0" collapsed="false">
      <c r="A1276" s="1" t="s">
        <v>569</v>
      </c>
      <c r="C1276" s="3" t="s">
        <v>584</v>
      </c>
      <c r="D1276" s="4" t="s">
        <v>571</v>
      </c>
      <c r="F1276" s="6" t="s">
        <v>585</v>
      </c>
      <c r="G1276" s="7" t="str">
        <f aca="false">HYPERLINK(CONCATENATE("http://crfop.gdos.gov.pl/CRFOP/widok/viewpomnikprzyrody.jsf?fop=","PL.ZIPOP.1393.PP.1017042.2077"),"(kliknij lub Ctrl+kliknij)")</f>
        <v>(kliknij lub Ctrl+kliknij)</v>
      </c>
      <c r="H1276" s="0" t="s">
        <v>953</v>
      </c>
    </row>
    <row r="1277" customFormat="false" ht="12.8" hidden="false" customHeight="false" outlineLevel="0" collapsed="false">
      <c r="A1277" s="1" t="s">
        <v>569</v>
      </c>
      <c r="C1277" s="3" t="s">
        <v>584</v>
      </c>
      <c r="D1277" s="4" t="s">
        <v>571</v>
      </c>
      <c r="F1277" s="6" t="s">
        <v>585</v>
      </c>
      <c r="G1277" s="7" t="str">
        <f aca="false">HYPERLINK(CONCATENATE("http://crfop.gdos.gov.pl/CRFOP/widok/viewpomnikprzyrody.jsf?fop=","PL.ZIPOP.1393.PP.1017042.2078"),"(kliknij lub Ctrl+kliknij)")</f>
        <v>(kliknij lub Ctrl+kliknij)</v>
      </c>
      <c r="H1277" s="0" t="s">
        <v>953</v>
      </c>
    </row>
    <row r="1278" customFormat="false" ht="12.8" hidden="false" customHeight="false" outlineLevel="0" collapsed="false">
      <c r="A1278" s="1" t="s">
        <v>569</v>
      </c>
      <c r="C1278" s="3" t="s">
        <v>584</v>
      </c>
      <c r="D1278" s="4" t="s">
        <v>571</v>
      </c>
      <c r="F1278" s="6" t="s">
        <v>585</v>
      </c>
      <c r="G1278" s="7" t="str">
        <f aca="false">HYPERLINK(CONCATENATE("http://crfop.gdos.gov.pl/CRFOP/widok/viewpomnikprzyrody.jsf?fop=","PL.ZIPOP.1393.PP.1017042.2079"),"(kliknij lub Ctrl+kliknij)")</f>
        <v>(kliknij lub Ctrl+kliknij)</v>
      </c>
      <c r="H1278" s="0" t="s">
        <v>953</v>
      </c>
    </row>
    <row r="1279" customFormat="false" ht="12.8" hidden="false" customHeight="false" outlineLevel="0" collapsed="false">
      <c r="A1279" s="1" t="s">
        <v>569</v>
      </c>
      <c r="C1279" s="3" t="s">
        <v>584</v>
      </c>
      <c r="D1279" s="4" t="s">
        <v>571</v>
      </c>
      <c r="F1279" s="6" t="s">
        <v>585</v>
      </c>
      <c r="G1279" s="7" t="str">
        <f aca="false">HYPERLINK(CONCATENATE("http://crfop.gdos.gov.pl/CRFOP/widok/viewpomnikprzyrody.jsf?fop=","PL.ZIPOP.1393.PP.1017042.2080"),"(kliknij lub Ctrl+kliknij)")</f>
        <v>(kliknij lub Ctrl+kliknij)</v>
      </c>
      <c r="H1279" s="0" t="s">
        <v>953</v>
      </c>
    </row>
    <row r="1280" customFormat="false" ht="12.8" hidden="false" customHeight="false" outlineLevel="0" collapsed="false">
      <c r="A1280" s="1" t="s">
        <v>569</v>
      </c>
      <c r="C1280" s="3" t="s">
        <v>584</v>
      </c>
      <c r="D1280" s="4" t="s">
        <v>571</v>
      </c>
      <c r="F1280" s="6" t="s">
        <v>585</v>
      </c>
      <c r="G1280" s="7" t="str">
        <f aca="false">HYPERLINK(CONCATENATE("http://crfop.gdos.gov.pl/CRFOP/widok/viewpomnikprzyrody.jsf?fop=","PL.ZIPOP.1393.PP.1017042.2081"),"(kliknij lub Ctrl+kliknij)")</f>
        <v>(kliknij lub Ctrl+kliknij)</v>
      </c>
      <c r="H1280" s="0" t="s">
        <v>953</v>
      </c>
    </row>
    <row r="1281" customFormat="false" ht="12.8" hidden="false" customHeight="false" outlineLevel="0" collapsed="false">
      <c r="A1281" s="1" t="s">
        <v>569</v>
      </c>
      <c r="C1281" s="3" t="s">
        <v>584</v>
      </c>
      <c r="D1281" s="4" t="s">
        <v>571</v>
      </c>
      <c r="F1281" s="6" t="s">
        <v>585</v>
      </c>
      <c r="G1281" s="7" t="str">
        <f aca="false">HYPERLINK(CONCATENATE("http://crfop.gdos.gov.pl/CRFOP/widok/viewpomnikprzyrody.jsf?fop=","PL.ZIPOP.1393.PP.1017042.2082"),"(kliknij lub Ctrl+kliknij)")</f>
        <v>(kliknij lub Ctrl+kliknij)</v>
      </c>
      <c r="H1281" s="0" t="s">
        <v>953</v>
      </c>
    </row>
    <row r="1282" customFormat="false" ht="12.8" hidden="false" customHeight="false" outlineLevel="0" collapsed="false">
      <c r="A1282" s="1" t="s">
        <v>569</v>
      </c>
      <c r="C1282" s="3" t="s">
        <v>584</v>
      </c>
      <c r="D1282" s="4" t="s">
        <v>571</v>
      </c>
      <c r="F1282" s="6" t="s">
        <v>585</v>
      </c>
      <c r="G1282" s="7" t="str">
        <f aca="false">HYPERLINK(CONCATENATE("http://crfop.gdos.gov.pl/CRFOP/widok/viewpomnikprzyrody.jsf?fop=","PL.ZIPOP.1393.PP.1017042.2083"),"(kliknij lub Ctrl+kliknij)")</f>
        <v>(kliknij lub Ctrl+kliknij)</v>
      </c>
      <c r="H1282" s="0" t="s">
        <v>953</v>
      </c>
    </row>
    <row r="1283" customFormat="false" ht="12.8" hidden="false" customHeight="false" outlineLevel="0" collapsed="false">
      <c r="A1283" s="1" t="s">
        <v>569</v>
      </c>
      <c r="C1283" s="3" t="s">
        <v>584</v>
      </c>
      <c r="D1283" s="4" t="s">
        <v>571</v>
      </c>
      <c r="F1283" s="6" t="s">
        <v>585</v>
      </c>
      <c r="G1283" s="7" t="str">
        <f aca="false">HYPERLINK(CONCATENATE("http://crfop.gdos.gov.pl/CRFOP/widok/viewpomnikprzyrody.jsf?fop=","PL.ZIPOP.1393.PP.1017042.2084"),"(kliknij lub Ctrl+kliknij)")</f>
        <v>(kliknij lub Ctrl+kliknij)</v>
      </c>
      <c r="H1283" s="0" t="s">
        <v>953</v>
      </c>
    </row>
    <row r="1284" customFormat="false" ht="12.8" hidden="false" customHeight="false" outlineLevel="0" collapsed="false">
      <c r="A1284" s="1" t="s">
        <v>569</v>
      </c>
      <c r="C1284" s="3" t="s">
        <v>584</v>
      </c>
      <c r="D1284" s="4" t="s">
        <v>571</v>
      </c>
      <c r="F1284" s="6" t="s">
        <v>585</v>
      </c>
      <c r="G1284" s="7" t="str">
        <f aca="false">HYPERLINK(CONCATENATE("http://crfop.gdos.gov.pl/CRFOP/widok/viewpomnikprzyrody.jsf?fop=","PL.ZIPOP.1393.PP.1017042.2085"),"(kliknij lub Ctrl+kliknij)")</f>
        <v>(kliknij lub Ctrl+kliknij)</v>
      </c>
      <c r="H1284" s="0" t="s">
        <v>953</v>
      </c>
    </row>
    <row r="1285" customFormat="false" ht="12.8" hidden="false" customHeight="false" outlineLevel="0" collapsed="false">
      <c r="A1285" s="1" t="s">
        <v>569</v>
      </c>
      <c r="C1285" s="3" t="s">
        <v>584</v>
      </c>
      <c r="D1285" s="4" t="s">
        <v>571</v>
      </c>
      <c r="F1285" s="6" t="s">
        <v>585</v>
      </c>
      <c r="G1285" s="7" t="str">
        <f aca="false">HYPERLINK(CONCATENATE("http://crfop.gdos.gov.pl/CRFOP/widok/viewpomnikprzyrody.jsf?fop=","PL.ZIPOP.1393.PP.1017042.2086"),"(kliknij lub Ctrl+kliknij)")</f>
        <v>(kliknij lub Ctrl+kliknij)</v>
      </c>
      <c r="H1285" s="0" t="s">
        <v>953</v>
      </c>
    </row>
    <row r="1286" customFormat="false" ht="12.8" hidden="false" customHeight="false" outlineLevel="0" collapsed="false">
      <c r="A1286" s="1" t="s">
        <v>569</v>
      </c>
      <c r="C1286" s="3" t="s">
        <v>584</v>
      </c>
      <c r="D1286" s="4" t="s">
        <v>571</v>
      </c>
      <c r="F1286" s="6" t="s">
        <v>585</v>
      </c>
      <c r="G1286" s="7" t="str">
        <f aca="false">HYPERLINK(CONCATENATE("http://crfop.gdos.gov.pl/CRFOP/widok/viewpomnikprzyrody.jsf?fop=","PL.ZIPOP.1393.PP.1017042.2087"),"(kliknij lub Ctrl+kliknij)")</f>
        <v>(kliknij lub Ctrl+kliknij)</v>
      </c>
      <c r="H1286" s="0" t="s">
        <v>953</v>
      </c>
    </row>
    <row r="1287" customFormat="false" ht="12.8" hidden="false" customHeight="false" outlineLevel="0" collapsed="false">
      <c r="A1287" s="1" t="s">
        <v>569</v>
      </c>
      <c r="C1287" s="3" t="s">
        <v>723</v>
      </c>
      <c r="D1287" s="4" t="s">
        <v>571</v>
      </c>
      <c r="F1287" s="6" t="s">
        <v>724</v>
      </c>
      <c r="G1287" s="7" t="str">
        <f aca="false">HYPERLINK(CONCATENATE("http://crfop.gdos.gov.pl/CRFOP/widok/viewpomnikprzyrody.jsf?fop=","PL.ZIPOP.1393.PP.1017042.2088"),"(kliknij lub Ctrl+kliknij)")</f>
        <v>(kliknij lub Ctrl+kliknij)</v>
      </c>
      <c r="H1287" s="0" t="s">
        <v>953</v>
      </c>
    </row>
    <row r="1288" customFormat="false" ht="12.8" hidden="false" customHeight="false" outlineLevel="0" collapsed="false">
      <c r="A1288" s="1" t="s">
        <v>569</v>
      </c>
      <c r="C1288" s="3" t="s">
        <v>584</v>
      </c>
      <c r="D1288" s="4" t="s">
        <v>571</v>
      </c>
      <c r="F1288" s="6" t="s">
        <v>585</v>
      </c>
      <c r="G1288" s="7" t="str">
        <f aca="false">HYPERLINK(CONCATENATE("http://crfop.gdos.gov.pl/CRFOP/widok/viewpomnikprzyrody.jsf?fop=","PL.ZIPOP.1393.PP.1017052.2095"),"(kliknij lub Ctrl+kliknij)")</f>
        <v>(kliknij lub Ctrl+kliknij)</v>
      </c>
      <c r="H1288" s="0" t="s">
        <v>954</v>
      </c>
    </row>
    <row r="1289" customFormat="false" ht="12.8" hidden="false" customHeight="false" outlineLevel="0" collapsed="false">
      <c r="A1289" s="1" t="s">
        <v>569</v>
      </c>
      <c r="C1289" s="3" t="s">
        <v>584</v>
      </c>
      <c r="D1289" s="4" t="s">
        <v>571</v>
      </c>
      <c r="F1289" s="6" t="s">
        <v>585</v>
      </c>
      <c r="G1289" s="7" t="str">
        <f aca="false">HYPERLINK(CONCATENATE("http://crfop.gdos.gov.pl/CRFOP/widok/viewpomnikprzyrody.jsf?fop=","PL.ZIPOP.1393.PP.1017052.2096"),"(kliknij lub Ctrl+kliknij)")</f>
        <v>(kliknij lub Ctrl+kliknij)</v>
      </c>
      <c r="H1289" s="0" t="s">
        <v>954</v>
      </c>
    </row>
    <row r="1290" customFormat="false" ht="12.8" hidden="false" customHeight="false" outlineLevel="0" collapsed="false">
      <c r="A1290" s="1" t="s">
        <v>569</v>
      </c>
      <c r="C1290" s="3" t="s">
        <v>584</v>
      </c>
      <c r="D1290" s="4" t="s">
        <v>571</v>
      </c>
      <c r="F1290" s="6" t="s">
        <v>585</v>
      </c>
      <c r="G1290" s="7" t="str">
        <f aca="false">HYPERLINK(CONCATENATE("http://crfop.gdos.gov.pl/CRFOP/widok/viewpomnikprzyrody.jsf?fop=","PL.ZIPOP.1393.PP.1017052.2097"),"(kliknij lub Ctrl+kliknij)")</f>
        <v>(kliknij lub Ctrl+kliknij)</v>
      </c>
      <c r="H1290" s="0" t="s">
        <v>954</v>
      </c>
    </row>
    <row r="1291" customFormat="false" ht="12.8" hidden="false" customHeight="false" outlineLevel="0" collapsed="false">
      <c r="A1291" s="1" t="s">
        <v>569</v>
      </c>
      <c r="C1291" s="3" t="s">
        <v>584</v>
      </c>
      <c r="D1291" s="4" t="s">
        <v>571</v>
      </c>
      <c r="F1291" s="6" t="s">
        <v>585</v>
      </c>
      <c r="G1291" s="7" t="str">
        <f aca="false">HYPERLINK(CONCATENATE("http://crfop.gdos.gov.pl/CRFOP/widok/viewpomnikprzyrody.jsf?fop=","PL.ZIPOP.1393.PP.1017052.2098"),"(kliknij lub Ctrl+kliknij)")</f>
        <v>(kliknij lub Ctrl+kliknij)</v>
      </c>
      <c r="H1291" s="0" t="s">
        <v>954</v>
      </c>
    </row>
    <row r="1292" customFormat="false" ht="12.8" hidden="false" customHeight="false" outlineLevel="0" collapsed="false">
      <c r="A1292" s="1" t="s">
        <v>569</v>
      </c>
      <c r="C1292" s="3" t="s">
        <v>584</v>
      </c>
      <c r="D1292" s="4" t="s">
        <v>571</v>
      </c>
      <c r="F1292" s="6" t="s">
        <v>585</v>
      </c>
      <c r="G1292" s="7" t="str">
        <f aca="false">HYPERLINK(CONCATENATE("http://crfop.gdos.gov.pl/CRFOP/widok/viewpomnikprzyrody.jsf?fop=","PL.ZIPOP.1393.PP.1017052.2100"),"(kliknij lub Ctrl+kliknij)")</f>
        <v>(kliknij lub Ctrl+kliknij)</v>
      </c>
      <c r="H1292" s="0" t="s">
        <v>954</v>
      </c>
    </row>
    <row r="1293" customFormat="false" ht="12.8" hidden="false" customHeight="false" outlineLevel="0" collapsed="false">
      <c r="A1293" s="1" t="s">
        <v>569</v>
      </c>
      <c r="C1293" s="3" t="s">
        <v>584</v>
      </c>
      <c r="D1293" s="4" t="s">
        <v>571</v>
      </c>
      <c r="F1293" s="6" t="s">
        <v>585</v>
      </c>
      <c r="G1293" s="7" t="str">
        <f aca="false">HYPERLINK(CONCATENATE("http://crfop.gdos.gov.pl/CRFOP/widok/viewpomnikprzyrody.jsf?fop=","PL.ZIPOP.1393.PP.1017052.2101"),"(kliknij lub Ctrl+kliknij)")</f>
        <v>(kliknij lub Ctrl+kliknij)</v>
      </c>
      <c r="H1293" s="0" t="s">
        <v>954</v>
      </c>
    </row>
    <row r="1294" customFormat="false" ht="12.8" hidden="false" customHeight="false" outlineLevel="0" collapsed="false">
      <c r="A1294" s="1" t="s">
        <v>569</v>
      </c>
      <c r="C1294" s="3" t="s">
        <v>584</v>
      </c>
      <c r="D1294" s="4" t="s">
        <v>571</v>
      </c>
      <c r="F1294" s="6" t="s">
        <v>585</v>
      </c>
      <c r="G1294" s="7" t="str">
        <f aca="false">HYPERLINK(CONCATENATE("http://crfop.gdos.gov.pl/CRFOP/widok/viewpomnikprzyrody.jsf?fop=","PL.ZIPOP.1393.PP.1017052.2103"),"(kliknij lub Ctrl+kliknij)")</f>
        <v>(kliknij lub Ctrl+kliknij)</v>
      </c>
      <c r="H1294" s="0" t="s">
        <v>954</v>
      </c>
    </row>
    <row r="1295" customFormat="false" ht="12.8" hidden="false" customHeight="false" outlineLevel="0" collapsed="false">
      <c r="A1295" s="1" t="s">
        <v>569</v>
      </c>
      <c r="C1295" s="3" t="s">
        <v>647</v>
      </c>
      <c r="D1295" s="4" t="s">
        <v>571</v>
      </c>
      <c r="F1295" s="6" t="s">
        <v>649</v>
      </c>
      <c r="G1295" s="7" t="str">
        <f aca="false">HYPERLINK(CONCATENATE("http://crfop.gdos.gov.pl/CRFOP/widok/viewpomnikprzyrody.jsf?fop=","PL.ZIPOP.1393.PP.1017052.2104"),"(kliknij lub Ctrl+kliknij)")</f>
        <v>(kliknij lub Ctrl+kliknij)</v>
      </c>
      <c r="H1295" s="0" t="s">
        <v>954</v>
      </c>
    </row>
    <row r="1296" customFormat="false" ht="12.8" hidden="false" customHeight="false" outlineLevel="0" collapsed="false">
      <c r="A1296" s="1" t="s">
        <v>569</v>
      </c>
      <c r="C1296" s="3" t="s">
        <v>955</v>
      </c>
      <c r="D1296" s="4" t="s">
        <v>571</v>
      </c>
      <c r="F1296" s="6" t="s">
        <v>956</v>
      </c>
      <c r="G1296" s="7" t="str">
        <f aca="false">HYPERLINK(CONCATENATE("http://crfop.gdos.gov.pl/CRFOP/widok/viewpomnikprzyrody.jsf?fop=","PL.ZIPOP.1393.PP.1017052.2105"),"(kliknij lub Ctrl+kliknij)")</f>
        <v>(kliknij lub Ctrl+kliknij)</v>
      </c>
      <c r="H1296" s="0" t="s">
        <v>954</v>
      </c>
    </row>
    <row r="1297" customFormat="false" ht="12.8" hidden="false" customHeight="false" outlineLevel="0" collapsed="false">
      <c r="A1297" s="1" t="s">
        <v>569</v>
      </c>
      <c r="C1297" s="3" t="s">
        <v>955</v>
      </c>
      <c r="D1297" s="4" t="s">
        <v>571</v>
      </c>
      <c r="F1297" s="6" t="s">
        <v>956</v>
      </c>
      <c r="G1297" s="7" t="str">
        <f aca="false">HYPERLINK(CONCATENATE("http://crfop.gdos.gov.pl/CRFOP/widok/viewpomnikprzyrody.jsf?fop=","PL.ZIPOP.1393.PP.1017052.2106"),"(kliknij lub Ctrl+kliknij)")</f>
        <v>(kliknij lub Ctrl+kliknij)</v>
      </c>
      <c r="H1297" s="0" t="s">
        <v>954</v>
      </c>
    </row>
    <row r="1298" customFormat="false" ht="12.8" hidden="false" customHeight="false" outlineLevel="0" collapsed="false">
      <c r="A1298" s="1" t="s">
        <v>569</v>
      </c>
      <c r="C1298" s="3" t="s">
        <v>955</v>
      </c>
      <c r="D1298" s="4" t="s">
        <v>571</v>
      </c>
      <c r="F1298" s="6" t="s">
        <v>956</v>
      </c>
      <c r="G1298" s="7" t="str">
        <f aca="false">HYPERLINK(CONCATENATE("http://crfop.gdos.gov.pl/CRFOP/widok/viewpomnikprzyrody.jsf?fop=","PL.ZIPOP.1393.PP.1017052.2107"),"(kliknij lub Ctrl+kliknij)")</f>
        <v>(kliknij lub Ctrl+kliknij)</v>
      </c>
      <c r="H1298" s="0" t="s">
        <v>954</v>
      </c>
    </row>
    <row r="1299" customFormat="false" ht="12.8" hidden="false" customHeight="false" outlineLevel="0" collapsed="false">
      <c r="A1299" s="1" t="s">
        <v>569</v>
      </c>
      <c r="C1299" s="3" t="s">
        <v>955</v>
      </c>
      <c r="D1299" s="4" t="s">
        <v>571</v>
      </c>
      <c r="F1299" s="6" t="s">
        <v>956</v>
      </c>
      <c r="G1299" s="7" t="str">
        <f aca="false">HYPERLINK(CONCATENATE("http://crfop.gdos.gov.pl/CRFOP/widok/viewpomnikprzyrody.jsf?fop=","PL.ZIPOP.1393.PP.1017052.2109"),"(kliknij lub Ctrl+kliknij)")</f>
        <v>(kliknij lub Ctrl+kliknij)</v>
      </c>
      <c r="H1299" s="0" t="s">
        <v>954</v>
      </c>
    </row>
    <row r="1300" customFormat="false" ht="12.8" hidden="false" customHeight="false" outlineLevel="0" collapsed="false">
      <c r="A1300" s="1" t="s">
        <v>569</v>
      </c>
      <c r="C1300" s="3" t="s">
        <v>584</v>
      </c>
      <c r="D1300" s="4" t="s">
        <v>571</v>
      </c>
      <c r="F1300" s="6" t="s">
        <v>585</v>
      </c>
      <c r="G1300" s="7" t="str">
        <f aca="false">HYPERLINK(CONCATENATE("http://crfop.gdos.gov.pl/CRFOP/widok/viewpomnikprzyrody.jsf?fop=","PL.ZIPOP.1393.PP.1017062.2089"),"(kliknij lub Ctrl+kliknij)")</f>
        <v>(kliknij lub Ctrl+kliknij)</v>
      </c>
      <c r="H1300" s="0" t="s">
        <v>957</v>
      </c>
    </row>
    <row r="1301" customFormat="false" ht="12.8" hidden="false" customHeight="false" outlineLevel="0" collapsed="false">
      <c r="A1301" s="1" t="s">
        <v>569</v>
      </c>
      <c r="C1301" s="3" t="s">
        <v>584</v>
      </c>
      <c r="D1301" s="4" t="s">
        <v>571</v>
      </c>
      <c r="F1301" s="6" t="s">
        <v>585</v>
      </c>
      <c r="G1301" s="7" t="str">
        <f aca="false">HYPERLINK(CONCATENATE("http://crfop.gdos.gov.pl/CRFOP/widok/viewpomnikprzyrody.jsf?fop=","PL.ZIPOP.1393.PP.1017062.2090"),"(kliknij lub Ctrl+kliknij)")</f>
        <v>(kliknij lub Ctrl+kliknij)</v>
      </c>
      <c r="H1301" s="0" t="s">
        <v>957</v>
      </c>
    </row>
    <row r="1302" customFormat="false" ht="12.8" hidden="false" customHeight="false" outlineLevel="0" collapsed="false">
      <c r="A1302" s="1" t="s">
        <v>569</v>
      </c>
      <c r="C1302" s="3" t="s">
        <v>584</v>
      </c>
      <c r="D1302" s="4" t="s">
        <v>571</v>
      </c>
      <c r="F1302" s="6" t="s">
        <v>585</v>
      </c>
      <c r="G1302" s="7" t="str">
        <f aca="false">HYPERLINK(CONCATENATE("http://crfop.gdos.gov.pl/CRFOP/widok/viewpomnikprzyrody.jsf?fop=","PL.ZIPOP.1393.PP.1017062.2091"),"(kliknij lub Ctrl+kliknij)")</f>
        <v>(kliknij lub Ctrl+kliknij)</v>
      </c>
      <c r="H1302" s="0" t="s">
        <v>957</v>
      </c>
    </row>
    <row r="1303" customFormat="false" ht="12.8" hidden="false" customHeight="false" outlineLevel="0" collapsed="false">
      <c r="A1303" s="1" t="s">
        <v>569</v>
      </c>
      <c r="C1303" s="3" t="s">
        <v>584</v>
      </c>
      <c r="D1303" s="4" t="s">
        <v>571</v>
      </c>
      <c r="F1303" s="6" t="s">
        <v>585</v>
      </c>
      <c r="G1303" s="7" t="str">
        <f aca="false">HYPERLINK(CONCATENATE("http://crfop.gdos.gov.pl/CRFOP/widok/viewpomnikprzyrody.jsf?fop=","PL.ZIPOP.1393.PP.1017062.2092"),"(kliknij lub Ctrl+kliknij)")</f>
        <v>(kliknij lub Ctrl+kliknij)</v>
      </c>
      <c r="H1303" s="0" t="s">
        <v>957</v>
      </c>
    </row>
    <row r="1304" customFormat="false" ht="12.8" hidden="false" customHeight="false" outlineLevel="0" collapsed="false">
      <c r="A1304" s="1" t="s">
        <v>569</v>
      </c>
      <c r="C1304" s="3" t="s">
        <v>584</v>
      </c>
      <c r="D1304" s="4" t="s">
        <v>571</v>
      </c>
      <c r="F1304" s="6" t="s">
        <v>585</v>
      </c>
      <c r="G1304" s="7" t="str">
        <f aca="false">HYPERLINK(CONCATENATE("http://crfop.gdos.gov.pl/CRFOP/widok/viewpomnikprzyrody.jsf?fop=","PL.ZIPOP.1393.PP.1017062.2093"),"(kliknij lub Ctrl+kliknij)")</f>
        <v>(kliknij lub Ctrl+kliknij)</v>
      </c>
      <c r="H1304" s="0" t="s">
        <v>957</v>
      </c>
    </row>
    <row r="1305" customFormat="false" ht="12.8" hidden="false" customHeight="false" outlineLevel="0" collapsed="false">
      <c r="A1305" s="1" t="s">
        <v>569</v>
      </c>
      <c r="C1305" s="3" t="s">
        <v>584</v>
      </c>
      <c r="D1305" s="4" t="s">
        <v>571</v>
      </c>
      <c r="F1305" s="6" t="s">
        <v>585</v>
      </c>
      <c r="G1305" s="7" t="str">
        <f aca="false">HYPERLINK(CONCATENATE("http://crfop.gdos.gov.pl/CRFOP/widok/viewpomnikprzyrody.jsf?fop=","PL.ZIPOP.1393.PP.1017062.2094"),"(kliknij lub Ctrl+kliknij)")</f>
        <v>(kliknij lub Ctrl+kliknij)</v>
      </c>
      <c r="H1305" s="0" t="s">
        <v>957</v>
      </c>
    </row>
    <row r="1306" customFormat="false" ht="12.8" hidden="false" customHeight="false" outlineLevel="0" collapsed="false">
      <c r="A1306" s="1" t="s">
        <v>569</v>
      </c>
      <c r="C1306" s="3" t="s">
        <v>584</v>
      </c>
      <c r="D1306" s="4" t="s">
        <v>571</v>
      </c>
      <c r="F1306" s="6" t="s">
        <v>585</v>
      </c>
      <c r="G1306" s="7" t="str">
        <f aca="false">HYPERLINK(CONCATENATE("http://crfop.gdos.gov.pl/CRFOP/widok/viewpomnikprzyrody.jsf?fop=","PL.ZIPOP.1393.PP.1017072.2110"),"(kliknij lub Ctrl+kliknij)")</f>
        <v>(kliknij lub Ctrl+kliknij)</v>
      </c>
      <c r="H1306" s="0" t="s">
        <v>958</v>
      </c>
    </row>
    <row r="1307" customFormat="false" ht="12.8" hidden="false" customHeight="false" outlineLevel="0" collapsed="false">
      <c r="A1307" s="1" t="s">
        <v>569</v>
      </c>
      <c r="C1307" s="3" t="s">
        <v>584</v>
      </c>
      <c r="D1307" s="4" t="s">
        <v>571</v>
      </c>
      <c r="F1307" s="6" t="s">
        <v>585</v>
      </c>
      <c r="G1307" s="7" t="str">
        <f aca="false">HYPERLINK(CONCATENATE("http://crfop.gdos.gov.pl/CRFOP/widok/viewpomnikprzyrody.jsf?fop=","PL.ZIPOP.1393.PP.1017072.2111"),"(kliknij lub Ctrl+kliknij)")</f>
        <v>(kliknij lub Ctrl+kliknij)</v>
      </c>
      <c r="H1307" s="0" t="s">
        <v>958</v>
      </c>
    </row>
    <row r="1308" customFormat="false" ht="12.8" hidden="false" customHeight="false" outlineLevel="0" collapsed="false">
      <c r="A1308" s="1" t="s">
        <v>569</v>
      </c>
      <c r="C1308" s="3" t="s">
        <v>584</v>
      </c>
      <c r="D1308" s="4" t="s">
        <v>571</v>
      </c>
      <c r="F1308" s="6" t="s">
        <v>585</v>
      </c>
      <c r="G1308" s="7" t="str">
        <f aca="false">HYPERLINK(CONCATENATE("http://crfop.gdos.gov.pl/CRFOP/widok/viewpomnikprzyrody.jsf?fop=","PL.ZIPOP.1393.PP.1017072.2112"),"(kliknij lub Ctrl+kliknij)")</f>
        <v>(kliknij lub Ctrl+kliknij)</v>
      </c>
      <c r="H1308" s="0" t="s">
        <v>958</v>
      </c>
    </row>
    <row r="1309" customFormat="false" ht="12.8" hidden="false" customHeight="false" outlineLevel="0" collapsed="false">
      <c r="A1309" s="1" t="s">
        <v>569</v>
      </c>
      <c r="C1309" s="3" t="s">
        <v>584</v>
      </c>
      <c r="D1309" s="4" t="s">
        <v>571</v>
      </c>
      <c r="F1309" s="6" t="s">
        <v>585</v>
      </c>
      <c r="G1309" s="7" t="str">
        <f aca="false">HYPERLINK(CONCATENATE("http://crfop.gdos.gov.pl/CRFOP/widok/viewpomnikprzyrody.jsf?fop=","PL.ZIPOP.1393.PP.1017072.2114"),"(kliknij lub Ctrl+kliknij)")</f>
        <v>(kliknij lub Ctrl+kliknij)</v>
      </c>
      <c r="H1309" s="0" t="s">
        <v>958</v>
      </c>
    </row>
    <row r="1310" customFormat="false" ht="12.8" hidden="false" customHeight="false" outlineLevel="0" collapsed="false">
      <c r="A1310" s="1" t="s">
        <v>569</v>
      </c>
      <c r="C1310" s="3" t="s">
        <v>584</v>
      </c>
      <c r="D1310" s="4" t="s">
        <v>571</v>
      </c>
      <c r="F1310" s="6" t="s">
        <v>585</v>
      </c>
      <c r="G1310" s="7" t="str">
        <f aca="false">HYPERLINK(CONCATENATE("http://crfop.gdos.gov.pl/CRFOP/widok/viewpomnikprzyrody.jsf?fop=","PL.ZIPOP.1393.PP.1017072.2117"),"(kliknij lub Ctrl+kliknij)")</f>
        <v>(kliknij lub Ctrl+kliknij)</v>
      </c>
      <c r="H1310" s="0" t="s">
        <v>958</v>
      </c>
    </row>
    <row r="1311" customFormat="false" ht="12.8" hidden="false" customHeight="false" outlineLevel="0" collapsed="false">
      <c r="A1311" s="1" t="s">
        <v>569</v>
      </c>
      <c r="C1311" s="3" t="s">
        <v>584</v>
      </c>
      <c r="D1311" s="4" t="s">
        <v>571</v>
      </c>
      <c r="F1311" s="6" t="s">
        <v>585</v>
      </c>
      <c r="G1311" s="7" t="str">
        <f aca="false">HYPERLINK(CONCATENATE("http://crfop.gdos.gov.pl/CRFOP/widok/viewpomnikprzyrody.jsf?fop=","PL.ZIPOP.1393.PP.1017072.2118"),"(kliknij lub Ctrl+kliknij)")</f>
        <v>(kliknij lub Ctrl+kliknij)</v>
      </c>
      <c r="H1311" s="0" t="s">
        <v>958</v>
      </c>
    </row>
    <row r="1312" customFormat="false" ht="12.8" hidden="false" customHeight="false" outlineLevel="0" collapsed="false">
      <c r="A1312" s="1" t="s">
        <v>569</v>
      </c>
      <c r="C1312" s="3" t="s">
        <v>584</v>
      </c>
      <c r="D1312" s="4" t="s">
        <v>571</v>
      </c>
      <c r="F1312" s="6" t="s">
        <v>585</v>
      </c>
      <c r="G1312" s="7" t="str">
        <f aca="false">HYPERLINK(CONCATENATE("http://crfop.gdos.gov.pl/CRFOP/widok/viewpomnikprzyrody.jsf?fop=","PL.ZIPOP.1393.PP.1017072.2119"),"(kliknij lub Ctrl+kliknij)")</f>
        <v>(kliknij lub Ctrl+kliknij)</v>
      </c>
      <c r="H1312" s="0" t="s">
        <v>958</v>
      </c>
    </row>
    <row r="1313" customFormat="false" ht="12.8" hidden="false" customHeight="false" outlineLevel="0" collapsed="false">
      <c r="A1313" s="1" t="s">
        <v>569</v>
      </c>
      <c r="C1313" s="3" t="s">
        <v>584</v>
      </c>
      <c r="D1313" s="4" t="s">
        <v>571</v>
      </c>
      <c r="F1313" s="6" t="s">
        <v>585</v>
      </c>
      <c r="G1313" s="7" t="str">
        <f aca="false">HYPERLINK(CONCATENATE("http://crfop.gdos.gov.pl/CRFOP/widok/viewpomnikprzyrody.jsf?fop=","PL.ZIPOP.1393.PP.1017072.2120"),"(kliknij lub Ctrl+kliknij)")</f>
        <v>(kliknij lub Ctrl+kliknij)</v>
      </c>
      <c r="H1313" s="0" t="s">
        <v>958</v>
      </c>
    </row>
    <row r="1314" customFormat="false" ht="12.8" hidden="false" customHeight="false" outlineLevel="0" collapsed="false">
      <c r="A1314" s="1" t="s">
        <v>569</v>
      </c>
      <c r="C1314" s="3" t="s">
        <v>584</v>
      </c>
      <c r="D1314" s="4" t="s">
        <v>571</v>
      </c>
      <c r="F1314" s="6" t="s">
        <v>585</v>
      </c>
      <c r="G1314" s="7" t="str">
        <f aca="false">HYPERLINK(CONCATENATE("http://crfop.gdos.gov.pl/CRFOP/widok/viewpomnikprzyrody.jsf?fop=","PL.ZIPOP.1393.PP.1017072.2121"),"(kliknij lub Ctrl+kliknij)")</f>
        <v>(kliknij lub Ctrl+kliknij)</v>
      </c>
      <c r="H1314" s="0" t="s">
        <v>958</v>
      </c>
    </row>
    <row r="1315" customFormat="false" ht="12.8" hidden="false" customHeight="false" outlineLevel="0" collapsed="false">
      <c r="A1315" s="1" t="s">
        <v>569</v>
      </c>
      <c r="C1315" s="3" t="s">
        <v>584</v>
      </c>
      <c r="D1315" s="4" t="s">
        <v>571</v>
      </c>
      <c r="F1315" s="6" t="s">
        <v>585</v>
      </c>
      <c r="G1315" s="7" t="str">
        <f aca="false">HYPERLINK(CONCATENATE("http://crfop.gdos.gov.pl/CRFOP/widok/viewpomnikprzyrody.jsf?fop=","PL.ZIPOP.1393.PP.1017072.2122"),"(kliknij lub Ctrl+kliknij)")</f>
        <v>(kliknij lub Ctrl+kliknij)</v>
      </c>
      <c r="H1315" s="0" t="s">
        <v>958</v>
      </c>
    </row>
    <row r="1316" customFormat="false" ht="12.8" hidden="false" customHeight="false" outlineLevel="0" collapsed="false">
      <c r="A1316" s="1" t="s">
        <v>569</v>
      </c>
      <c r="C1316" s="3" t="s">
        <v>584</v>
      </c>
      <c r="D1316" s="4" t="s">
        <v>571</v>
      </c>
      <c r="F1316" s="6" t="s">
        <v>585</v>
      </c>
      <c r="G1316" s="7" t="str">
        <f aca="false">HYPERLINK(CONCATENATE("http://crfop.gdos.gov.pl/CRFOP/widok/viewpomnikprzyrody.jsf?fop=","PL.ZIPOP.1393.PP.1017082.2123"),"(kliknij lub Ctrl+kliknij)")</f>
        <v>(kliknij lub Ctrl+kliknij)</v>
      </c>
      <c r="H1316" s="0" t="s">
        <v>959</v>
      </c>
    </row>
    <row r="1317" customFormat="false" ht="12.8" hidden="false" customHeight="false" outlineLevel="0" collapsed="false">
      <c r="A1317" s="1" t="s">
        <v>569</v>
      </c>
      <c r="C1317" s="3" t="s">
        <v>584</v>
      </c>
      <c r="D1317" s="4" t="s">
        <v>571</v>
      </c>
      <c r="F1317" s="6" t="s">
        <v>585</v>
      </c>
      <c r="G1317" s="7" t="str">
        <f aca="false">HYPERLINK(CONCATENATE("http://crfop.gdos.gov.pl/CRFOP/widok/viewpomnikprzyrody.jsf?fop=","PL.ZIPOP.1393.PP.1017082.2124"),"(kliknij lub Ctrl+kliknij)")</f>
        <v>(kliknij lub Ctrl+kliknij)</v>
      </c>
      <c r="H1317" s="0" t="s">
        <v>959</v>
      </c>
    </row>
    <row r="1318" customFormat="false" ht="12.8" hidden="false" customHeight="false" outlineLevel="0" collapsed="false">
      <c r="A1318" s="1" t="s">
        <v>569</v>
      </c>
      <c r="C1318" s="3" t="s">
        <v>584</v>
      </c>
      <c r="D1318" s="4" t="s">
        <v>571</v>
      </c>
      <c r="F1318" s="6" t="s">
        <v>585</v>
      </c>
      <c r="G1318" s="7" t="str">
        <f aca="false">HYPERLINK(CONCATENATE("http://crfop.gdos.gov.pl/CRFOP/widok/viewpomnikprzyrody.jsf?fop=","PL.ZIPOP.1393.PP.1017082.2125"),"(kliknij lub Ctrl+kliknij)")</f>
        <v>(kliknij lub Ctrl+kliknij)</v>
      </c>
      <c r="H1318" s="0" t="s">
        <v>959</v>
      </c>
    </row>
    <row r="1319" customFormat="false" ht="12.8" hidden="false" customHeight="false" outlineLevel="0" collapsed="false">
      <c r="A1319" s="1" t="s">
        <v>569</v>
      </c>
      <c r="C1319" s="3" t="s">
        <v>584</v>
      </c>
      <c r="D1319" s="4" t="s">
        <v>571</v>
      </c>
      <c r="F1319" s="6" t="s">
        <v>585</v>
      </c>
      <c r="G1319" s="7" t="str">
        <f aca="false">HYPERLINK(CONCATENATE("http://crfop.gdos.gov.pl/CRFOP/widok/viewpomnikprzyrody.jsf?fop=","PL.ZIPOP.1393.PP.1017082.2126"),"(kliknij lub Ctrl+kliknij)")</f>
        <v>(kliknij lub Ctrl+kliknij)</v>
      </c>
      <c r="H1319" s="0" t="s">
        <v>959</v>
      </c>
    </row>
    <row r="1320" customFormat="false" ht="12.8" hidden="false" customHeight="false" outlineLevel="0" collapsed="false">
      <c r="A1320" s="1" t="s">
        <v>569</v>
      </c>
      <c r="C1320" s="3" t="s">
        <v>584</v>
      </c>
      <c r="D1320" s="4" t="s">
        <v>571</v>
      </c>
      <c r="F1320" s="6" t="s">
        <v>585</v>
      </c>
      <c r="G1320" s="7" t="str">
        <f aca="false">HYPERLINK(CONCATENATE("http://crfop.gdos.gov.pl/CRFOP/widok/viewpomnikprzyrody.jsf?fop=","PL.ZIPOP.1393.PP.1017082.2127"),"(kliknij lub Ctrl+kliknij)")</f>
        <v>(kliknij lub Ctrl+kliknij)</v>
      </c>
      <c r="H1320" s="0" t="s">
        <v>959</v>
      </c>
    </row>
    <row r="1321" customFormat="false" ht="12.8" hidden="false" customHeight="false" outlineLevel="0" collapsed="false">
      <c r="A1321" s="1" t="s">
        <v>569</v>
      </c>
      <c r="C1321" s="3" t="s">
        <v>584</v>
      </c>
      <c r="D1321" s="4" t="s">
        <v>571</v>
      </c>
      <c r="F1321" s="6" t="s">
        <v>585</v>
      </c>
      <c r="G1321" s="7" t="str">
        <f aca="false">HYPERLINK(CONCATENATE("http://crfop.gdos.gov.pl/CRFOP/widok/viewpomnikprzyrody.jsf?fop=","PL.ZIPOP.1393.PP.1017082.2128"),"(kliknij lub Ctrl+kliknij)")</f>
        <v>(kliknij lub Ctrl+kliknij)</v>
      </c>
      <c r="H1321" s="0" t="s">
        <v>959</v>
      </c>
    </row>
    <row r="1322" customFormat="false" ht="12.8" hidden="false" customHeight="false" outlineLevel="0" collapsed="false">
      <c r="A1322" s="1" t="s">
        <v>569</v>
      </c>
      <c r="C1322" s="3" t="s">
        <v>584</v>
      </c>
      <c r="D1322" s="4" t="s">
        <v>571</v>
      </c>
      <c r="F1322" s="6" t="s">
        <v>585</v>
      </c>
      <c r="G1322" s="7" t="str">
        <f aca="false">HYPERLINK(CONCATENATE("http://crfop.gdos.gov.pl/CRFOP/widok/viewpomnikprzyrody.jsf?fop=","PL.ZIPOP.1393.PP.1017082.2129"),"(kliknij lub Ctrl+kliknij)")</f>
        <v>(kliknij lub Ctrl+kliknij)</v>
      </c>
      <c r="H1322" s="0" t="s">
        <v>959</v>
      </c>
    </row>
    <row r="1323" customFormat="false" ht="12.8" hidden="false" customHeight="false" outlineLevel="0" collapsed="false">
      <c r="A1323" s="1" t="s">
        <v>569</v>
      </c>
      <c r="C1323" s="3" t="s">
        <v>584</v>
      </c>
      <c r="D1323" s="4" t="s">
        <v>571</v>
      </c>
      <c r="F1323" s="6" t="s">
        <v>585</v>
      </c>
      <c r="G1323" s="7" t="str">
        <f aca="false">HYPERLINK(CONCATENATE("http://crfop.gdos.gov.pl/CRFOP/widok/viewpomnikprzyrody.jsf?fop=","PL.ZIPOP.1393.PP.1017082.2130"),"(kliknij lub Ctrl+kliknij)")</f>
        <v>(kliknij lub Ctrl+kliknij)</v>
      </c>
      <c r="H1323" s="0" t="s">
        <v>959</v>
      </c>
    </row>
    <row r="1324" customFormat="false" ht="12.8" hidden="false" customHeight="false" outlineLevel="0" collapsed="false">
      <c r="A1324" s="1" t="s">
        <v>569</v>
      </c>
      <c r="C1324" s="3" t="s">
        <v>584</v>
      </c>
      <c r="D1324" s="4" t="s">
        <v>571</v>
      </c>
      <c r="F1324" s="6" t="s">
        <v>585</v>
      </c>
      <c r="G1324" s="7" t="str">
        <f aca="false">HYPERLINK(CONCATENATE("http://crfop.gdos.gov.pl/CRFOP/widok/viewpomnikprzyrody.jsf?fop=","PL.ZIPOP.1393.PP.1017082.2131"),"(kliknij lub Ctrl+kliknij)")</f>
        <v>(kliknij lub Ctrl+kliknij)</v>
      </c>
      <c r="H1324" s="0" t="s">
        <v>959</v>
      </c>
    </row>
    <row r="1325" customFormat="false" ht="12.8" hidden="false" customHeight="false" outlineLevel="0" collapsed="false">
      <c r="A1325" s="1" t="s">
        <v>569</v>
      </c>
      <c r="C1325" s="3" t="s">
        <v>584</v>
      </c>
      <c r="D1325" s="4" t="s">
        <v>571</v>
      </c>
      <c r="F1325" s="6" t="s">
        <v>585</v>
      </c>
      <c r="G1325" s="7" t="str">
        <f aca="false">HYPERLINK(CONCATENATE("http://crfop.gdos.gov.pl/CRFOP/widok/viewpomnikprzyrody.jsf?fop=","PL.ZIPOP.1393.PP.1017082.2132"),"(kliknij lub Ctrl+kliknij)")</f>
        <v>(kliknij lub Ctrl+kliknij)</v>
      </c>
      <c r="H1325" s="0" t="s">
        <v>959</v>
      </c>
    </row>
    <row r="1326" customFormat="false" ht="12.8" hidden="false" customHeight="false" outlineLevel="0" collapsed="false">
      <c r="A1326" s="1" t="s">
        <v>569</v>
      </c>
      <c r="C1326" s="3" t="s">
        <v>584</v>
      </c>
      <c r="D1326" s="4" t="s">
        <v>571</v>
      </c>
      <c r="F1326" s="6" t="s">
        <v>585</v>
      </c>
      <c r="G1326" s="7" t="str">
        <f aca="false">HYPERLINK(CONCATENATE("http://crfop.gdos.gov.pl/CRFOP/widok/viewpomnikprzyrody.jsf?fop=","PL.ZIPOP.1393.PP.1017082.2134"),"(kliknij lub Ctrl+kliknij)")</f>
        <v>(kliknij lub Ctrl+kliknij)</v>
      </c>
      <c r="H1326" s="0" t="s">
        <v>959</v>
      </c>
    </row>
    <row r="1327" customFormat="false" ht="12.8" hidden="false" customHeight="false" outlineLevel="0" collapsed="false">
      <c r="A1327" s="1" t="s">
        <v>569</v>
      </c>
      <c r="C1327" s="3" t="s">
        <v>723</v>
      </c>
      <c r="D1327" s="4" t="s">
        <v>571</v>
      </c>
      <c r="F1327" s="6" t="s">
        <v>724</v>
      </c>
      <c r="G1327" s="7" t="str">
        <f aca="false">HYPERLINK(CONCATENATE("http://crfop.gdos.gov.pl/CRFOP/widok/viewpomnikprzyrody.jsf?fop=","PL.ZIPOP.1393.PP.1017082.2135"),"(kliknij lub Ctrl+kliknij)")</f>
        <v>(kliknij lub Ctrl+kliknij)</v>
      </c>
      <c r="H1327" s="0" t="s">
        <v>959</v>
      </c>
    </row>
    <row r="1328" customFormat="false" ht="12.8" hidden="false" customHeight="false" outlineLevel="0" collapsed="false">
      <c r="A1328" s="1" t="s">
        <v>569</v>
      </c>
      <c r="C1328" s="3" t="s">
        <v>584</v>
      </c>
      <c r="D1328" s="4" t="s">
        <v>571</v>
      </c>
      <c r="F1328" s="6" t="s">
        <v>585</v>
      </c>
      <c r="G1328" s="7" t="str">
        <f aca="false">HYPERLINK(CONCATENATE("http://crfop.gdos.gov.pl/CRFOP/widok/viewpomnikprzyrody.jsf?fop=","PL.ZIPOP.1393.PP.1017093.2136"),"(kliknij lub Ctrl+kliknij)")</f>
        <v>(kliknij lub Ctrl+kliknij)</v>
      </c>
      <c r="H1328" s="0" t="s">
        <v>960</v>
      </c>
    </row>
    <row r="1329" customFormat="false" ht="12.8" hidden="false" customHeight="false" outlineLevel="0" collapsed="false">
      <c r="A1329" s="1" t="s">
        <v>569</v>
      </c>
      <c r="C1329" s="3" t="s">
        <v>584</v>
      </c>
      <c r="D1329" s="4" t="s">
        <v>571</v>
      </c>
      <c r="F1329" s="6" t="s">
        <v>585</v>
      </c>
      <c r="G1329" s="7" t="str">
        <f aca="false">HYPERLINK(CONCATENATE("http://crfop.gdos.gov.pl/CRFOP/widok/viewpomnikprzyrody.jsf?fop=","PL.ZIPOP.1393.PP.1017093.2137"),"(kliknij lub Ctrl+kliknij)")</f>
        <v>(kliknij lub Ctrl+kliknij)</v>
      </c>
      <c r="H1329" s="0" t="s">
        <v>960</v>
      </c>
    </row>
    <row r="1330" customFormat="false" ht="12.8" hidden="false" customHeight="false" outlineLevel="0" collapsed="false">
      <c r="A1330" s="1" t="s">
        <v>569</v>
      </c>
      <c r="C1330" s="3" t="s">
        <v>584</v>
      </c>
      <c r="D1330" s="4" t="s">
        <v>571</v>
      </c>
      <c r="F1330" s="6" t="s">
        <v>585</v>
      </c>
      <c r="G1330" s="7" t="str">
        <f aca="false">HYPERLINK(CONCATENATE("http://crfop.gdos.gov.pl/CRFOP/widok/viewpomnikprzyrody.jsf?fop=","PL.ZIPOP.1393.PP.1017093.2138"),"(kliknij lub Ctrl+kliknij)")</f>
        <v>(kliknij lub Ctrl+kliknij)</v>
      </c>
      <c r="H1330" s="0" t="s">
        <v>960</v>
      </c>
    </row>
    <row r="1331" customFormat="false" ht="12.8" hidden="false" customHeight="false" outlineLevel="0" collapsed="false">
      <c r="A1331" s="1" t="s">
        <v>569</v>
      </c>
      <c r="C1331" s="3" t="s">
        <v>584</v>
      </c>
      <c r="D1331" s="4" t="s">
        <v>571</v>
      </c>
      <c r="F1331" s="6" t="s">
        <v>585</v>
      </c>
      <c r="G1331" s="7" t="str">
        <f aca="false">HYPERLINK(CONCATENATE("http://crfop.gdos.gov.pl/CRFOP/widok/viewpomnikprzyrody.jsf?fop=","PL.ZIPOP.1393.PP.1017093.2139"),"(kliknij lub Ctrl+kliknij)")</f>
        <v>(kliknij lub Ctrl+kliknij)</v>
      </c>
      <c r="H1331" s="0" t="s">
        <v>960</v>
      </c>
    </row>
    <row r="1332" customFormat="false" ht="12.8" hidden="false" customHeight="false" outlineLevel="0" collapsed="false">
      <c r="A1332" s="1" t="s">
        <v>569</v>
      </c>
      <c r="C1332" s="3" t="s">
        <v>584</v>
      </c>
      <c r="D1332" s="4" t="s">
        <v>571</v>
      </c>
      <c r="F1332" s="6" t="s">
        <v>585</v>
      </c>
      <c r="G1332" s="7" t="str">
        <f aca="false">HYPERLINK(CONCATENATE("http://crfop.gdos.gov.pl/CRFOP/widok/viewpomnikprzyrody.jsf?fop=","PL.ZIPOP.1393.PP.1017093.2141"),"(kliknij lub Ctrl+kliknij)")</f>
        <v>(kliknij lub Ctrl+kliknij)</v>
      </c>
      <c r="H1332" s="0" t="s">
        <v>960</v>
      </c>
    </row>
    <row r="1333" customFormat="false" ht="12.8" hidden="false" customHeight="false" outlineLevel="0" collapsed="false">
      <c r="A1333" s="1" t="s">
        <v>569</v>
      </c>
      <c r="C1333" s="3" t="s">
        <v>584</v>
      </c>
      <c r="D1333" s="4" t="s">
        <v>571</v>
      </c>
      <c r="F1333" s="6" t="s">
        <v>585</v>
      </c>
      <c r="G1333" s="7" t="str">
        <f aca="false">HYPERLINK(CONCATENATE("http://crfop.gdos.gov.pl/CRFOP/widok/viewpomnikprzyrody.jsf?fop=","PL.ZIPOP.1393.PP.1017093.2142"),"(kliknij lub Ctrl+kliknij)")</f>
        <v>(kliknij lub Ctrl+kliknij)</v>
      </c>
      <c r="H1333" s="0" t="s">
        <v>960</v>
      </c>
    </row>
    <row r="1334" customFormat="false" ht="12.8" hidden="false" customHeight="false" outlineLevel="0" collapsed="false">
      <c r="A1334" s="1" t="s">
        <v>569</v>
      </c>
      <c r="C1334" s="3" t="s">
        <v>584</v>
      </c>
      <c r="D1334" s="4" t="s">
        <v>571</v>
      </c>
      <c r="F1334" s="6" t="s">
        <v>585</v>
      </c>
      <c r="G1334" s="7" t="str">
        <f aca="false">HYPERLINK(CONCATENATE("http://crfop.gdos.gov.pl/CRFOP/widok/viewpomnikprzyrody.jsf?fop=","PL.ZIPOP.1393.PP.1017093.2143"),"(kliknij lub Ctrl+kliknij)")</f>
        <v>(kliknij lub Ctrl+kliknij)</v>
      </c>
      <c r="H1334" s="0" t="s">
        <v>960</v>
      </c>
    </row>
    <row r="1335" customFormat="false" ht="12.8" hidden="false" customHeight="false" outlineLevel="0" collapsed="false">
      <c r="A1335" s="1" t="s">
        <v>569</v>
      </c>
      <c r="C1335" s="3" t="s">
        <v>584</v>
      </c>
      <c r="D1335" s="4" t="s">
        <v>571</v>
      </c>
      <c r="F1335" s="6" t="s">
        <v>585</v>
      </c>
      <c r="G1335" s="7" t="str">
        <f aca="false">HYPERLINK(CONCATENATE("http://crfop.gdos.gov.pl/CRFOP/widok/viewpomnikprzyrody.jsf?fop=","PL.ZIPOP.1393.PP.1017093.2144"),"(kliknij lub Ctrl+kliknij)")</f>
        <v>(kliknij lub Ctrl+kliknij)</v>
      </c>
      <c r="H1335" s="0" t="s">
        <v>960</v>
      </c>
    </row>
    <row r="1336" customFormat="false" ht="12.8" hidden="false" customHeight="false" outlineLevel="0" collapsed="false">
      <c r="A1336" s="1" t="s">
        <v>569</v>
      </c>
      <c r="C1336" s="3" t="s">
        <v>584</v>
      </c>
      <c r="D1336" s="4" t="s">
        <v>571</v>
      </c>
      <c r="F1336" s="6" t="s">
        <v>585</v>
      </c>
      <c r="G1336" s="7" t="str">
        <f aca="false">HYPERLINK(CONCATENATE("http://crfop.gdos.gov.pl/CRFOP/widok/viewpomnikprzyrody.jsf?fop=","PL.ZIPOP.1393.PP.1017093.2145"),"(kliknij lub Ctrl+kliknij)")</f>
        <v>(kliknij lub Ctrl+kliknij)</v>
      </c>
      <c r="H1336" s="0" t="s">
        <v>960</v>
      </c>
    </row>
    <row r="1337" customFormat="false" ht="12.8" hidden="false" customHeight="false" outlineLevel="0" collapsed="false">
      <c r="A1337" s="1" t="s">
        <v>569</v>
      </c>
      <c r="C1337" s="3" t="s">
        <v>584</v>
      </c>
      <c r="D1337" s="4" t="s">
        <v>571</v>
      </c>
      <c r="F1337" s="6" t="s">
        <v>585</v>
      </c>
      <c r="G1337" s="7" t="str">
        <f aca="false">HYPERLINK(CONCATENATE("http://crfop.gdos.gov.pl/CRFOP/widok/viewpomnikprzyrody.jsf?fop=","PL.ZIPOP.1393.PP.1017093.2146"),"(kliknij lub Ctrl+kliknij)")</f>
        <v>(kliknij lub Ctrl+kliknij)</v>
      </c>
      <c r="H1337" s="0" t="s">
        <v>960</v>
      </c>
    </row>
    <row r="1338" customFormat="false" ht="12.8" hidden="false" customHeight="false" outlineLevel="0" collapsed="false">
      <c r="A1338" s="1" t="s">
        <v>569</v>
      </c>
      <c r="C1338" s="3" t="s">
        <v>584</v>
      </c>
      <c r="D1338" s="4" t="s">
        <v>571</v>
      </c>
      <c r="F1338" s="6" t="s">
        <v>585</v>
      </c>
      <c r="G1338" s="7" t="str">
        <f aca="false">HYPERLINK(CONCATENATE("http://crfop.gdos.gov.pl/CRFOP/widok/viewpomnikprzyrody.jsf?fop=","PL.ZIPOP.1393.PP.1017093.2147"),"(kliknij lub Ctrl+kliknij)")</f>
        <v>(kliknij lub Ctrl+kliknij)</v>
      </c>
      <c r="H1338" s="0" t="s">
        <v>960</v>
      </c>
    </row>
    <row r="1339" customFormat="false" ht="12.8" hidden="false" customHeight="false" outlineLevel="0" collapsed="false">
      <c r="A1339" s="1" t="s">
        <v>569</v>
      </c>
      <c r="C1339" s="3" t="s">
        <v>723</v>
      </c>
      <c r="D1339" s="4" t="s">
        <v>571</v>
      </c>
      <c r="F1339" s="6" t="s">
        <v>724</v>
      </c>
      <c r="G1339" s="7" t="str">
        <f aca="false">HYPERLINK(CONCATENATE("http://crfop.gdos.gov.pl/CRFOP/widok/viewpomnikprzyrody.jsf?fop=","PL.ZIPOP.1393.PP.1017093.2148"),"(kliknij lub Ctrl+kliknij)")</f>
        <v>(kliknij lub Ctrl+kliknij)</v>
      </c>
      <c r="H1339" s="0" t="s">
        <v>960</v>
      </c>
    </row>
    <row r="1340" customFormat="false" ht="12.8" hidden="false" customHeight="false" outlineLevel="0" collapsed="false">
      <c r="A1340" s="1" t="s">
        <v>569</v>
      </c>
      <c r="C1340" s="3" t="s">
        <v>961</v>
      </c>
      <c r="D1340" s="4" t="s">
        <v>571</v>
      </c>
      <c r="F1340" s="6" t="s">
        <v>962</v>
      </c>
      <c r="G1340" s="7" t="str">
        <f aca="false">HYPERLINK(CONCATENATE("http://crfop.gdos.gov.pl/CRFOP/widok/viewpomnikprzyrody.jsf?fop=","PL.ZIPOP.1393.PP.1017102.2149"),"(kliknij lub Ctrl+kliknij)")</f>
        <v>(kliknij lub Ctrl+kliknij)</v>
      </c>
      <c r="H1340" s="0" t="s">
        <v>963</v>
      </c>
    </row>
    <row r="1341" customFormat="false" ht="12.8" hidden="false" customHeight="false" outlineLevel="0" collapsed="false">
      <c r="A1341" s="1" t="s">
        <v>569</v>
      </c>
      <c r="C1341" s="3" t="s">
        <v>961</v>
      </c>
      <c r="D1341" s="4" t="s">
        <v>571</v>
      </c>
      <c r="F1341" s="6" t="s">
        <v>962</v>
      </c>
      <c r="G1341" s="7" t="str">
        <f aca="false">HYPERLINK(CONCATENATE("http://crfop.gdos.gov.pl/CRFOP/widok/viewpomnikprzyrody.jsf?fop=","PL.ZIPOP.1393.PP.1017102.2150"),"(kliknij lub Ctrl+kliknij)")</f>
        <v>(kliknij lub Ctrl+kliknij)</v>
      </c>
      <c r="H1341" s="0" t="s">
        <v>963</v>
      </c>
    </row>
    <row r="1342" customFormat="false" ht="12.8" hidden="false" customHeight="false" outlineLevel="0" collapsed="false">
      <c r="A1342" s="1" t="s">
        <v>569</v>
      </c>
      <c r="C1342" s="3" t="s">
        <v>961</v>
      </c>
      <c r="D1342" s="4" t="s">
        <v>571</v>
      </c>
      <c r="F1342" s="6" t="s">
        <v>962</v>
      </c>
      <c r="G1342" s="7" t="str">
        <f aca="false">HYPERLINK(CONCATENATE("http://crfop.gdos.gov.pl/CRFOP/widok/viewpomnikprzyrody.jsf?fop=","PL.ZIPOP.1393.PP.1017102.2151"),"(kliknij lub Ctrl+kliknij)")</f>
        <v>(kliknij lub Ctrl+kliknij)</v>
      </c>
      <c r="H1342" s="0" t="s">
        <v>963</v>
      </c>
    </row>
    <row r="1343" customFormat="false" ht="12.8" hidden="false" customHeight="false" outlineLevel="0" collapsed="false">
      <c r="A1343" s="1" t="s">
        <v>569</v>
      </c>
      <c r="C1343" s="3" t="s">
        <v>961</v>
      </c>
      <c r="D1343" s="4" t="s">
        <v>571</v>
      </c>
      <c r="F1343" s="6" t="s">
        <v>962</v>
      </c>
      <c r="G1343" s="7" t="str">
        <f aca="false">HYPERLINK(CONCATENATE("http://crfop.gdos.gov.pl/CRFOP/widok/viewpomnikprzyrody.jsf?fop=","PL.ZIPOP.1393.PP.1017102.2153"),"(kliknij lub Ctrl+kliknij)")</f>
        <v>(kliknij lub Ctrl+kliknij)</v>
      </c>
      <c r="H1343" s="0" t="s">
        <v>963</v>
      </c>
    </row>
    <row r="1344" customFormat="false" ht="12.8" hidden="false" customHeight="false" outlineLevel="0" collapsed="false">
      <c r="A1344" s="1" t="s">
        <v>569</v>
      </c>
      <c r="B1344" s="2" t="s">
        <v>964</v>
      </c>
      <c r="C1344" s="3" t="s">
        <v>584</v>
      </c>
      <c r="D1344" s="4" t="s">
        <v>571</v>
      </c>
      <c r="F1344" s="6" t="s">
        <v>585</v>
      </c>
      <c r="G1344" s="7" t="str">
        <f aca="false">HYPERLINK(CONCATENATE("http://crfop.gdos.gov.pl/CRFOP/widok/viewpomnikprzyrody.jsf?fop=","PL.ZIPOP.1393.PP.1017102.2156"),"(kliknij lub Ctrl+kliknij)")</f>
        <v>(kliknij lub Ctrl+kliknij)</v>
      </c>
      <c r="H1344" s="0" t="s">
        <v>963</v>
      </c>
    </row>
    <row r="1345" customFormat="false" ht="12.8" hidden="false" customHeight="false" outlineLevel="0" collapsed="false">
      <c r="A1345" s="1" t="s">
        <v>569</v>
      </c>
      <c r="C1345" s="3" t="s">
        <v>584</v>
      </c>
      <c r="D1345" s="4" t="s">
        <v>571</v>
      </c>
      <c r="F1345" s="6" t="s">
        <v>585</v>
      </c>
      <c r="G1345" s="7" t="str">
        <f aca="false">HYPERLINK(CONCATENATE("http://crfop.gdos.gov.pl/CRFOP/widok/viewpomnikprzyrody.jsf?fop=","PL.ZIPOP.1393.PP.1017102.2159"),"(kliknij lub Ctrl+kliknij)")</f>
        <v>(kliknij lub Ctrl+kliknij)</v>
      </c>
      <c r="H1345" s="0" t="s">
        <v>963</v>
      </c>
    </row>
    <row r="1346" customFormat="false" ht="12.8" hidden="false" customHeight="false" outlineLevel="0" collapsed="false">
      <c r="A1346" s="1" t="s">
        <v>569</v>
      </c>
      <c r="C1346" s="3" t="s">
        <v>965</v>
      </c>
      <c r="D1346" s="4" t="s">
        <v>571</v>
      </c>
      <c r="F1346" s="6" t="s">
        <v>966</v>
      </c>
      <c r="G1346" s="7" t="str">
        <f aca="false">HYPERLINK(CONCATENATE("http://crfop.gdos.gov.pl/CRFOP/widok/viewpomnikprzyrody.jsf?fop=","PL.ZIPOP.1393.PP.1017102.2160"),"(kliknij lub Ctrl+kliknij)")</f>
        <v>(kliknij lub Ctrl+kliknij)</v>
      </c>
      <c r="H1346" s="0" t="s">
        <v>963</v>
      </c>
    </row>
    <row r="1347" customFormat="false" ht="12.8" hidden="false" customHeight="false" outlineLevel="0" collapsed="false">
      <c r="A1347" s="1" t="s">
        <v>569</v>
      </c>
      <c r="B1347" s="2" t="s">
        <v>967</v>
      </c>
      <c r="C1347" s="3" t="s">
        <v>968</v>
      </c>
      <c r="D1347" s="4" t="s">
        <v>571</v>
      </c>
      <c r="F1347" s="6" t="s">
        <v>969</v>
      </c>
      <c r="G1347" s="7" t="str">
        <f aca="false">HYPERLINK(CONCATENATE("http://crfop.gdos.gov.pl/CRFOP/widok/viewpomnikprzyrody.jsf?fop=","PL.ZIPOP.1393.PP.1017102.2161"),"(kliknij lub Ctrl+kliknij)")</f>
        <v>(kliknij lub Ctrl+kliknij)</v>
      </c>
      <c r="H1347" s="0" t="s">
        <v>963</v>
      </c>
    </row>
    <row r="1348" customFormat="false" ht="12.8" hidden="false" customHeight="false" outlineLevel="0" collapsed="false">
      <c r="A1348" s="1" t="s">
        <v>569</v>
      </c>
      <c r="C1348" s="3" t="s">
        <v>970</v>
      </c>
      <c r="D1348" s="4" t="s">
        <v>571</v>
      </c>
      <c r="F1348" s="6" t="s">
        <v>971</v>
      </c>
      <c r="G1348" s="7" t="str">
        <f aca="false">HYPERLINK(CONCATENATE("http://crfop.gdos.gov.pl/CRFOP/widok/viewpomnikprzyrody.jsf?fop=","PL.ZIPOP.1393.PP.1018022.2296"),"(kliknij lub Ctrl+kliknij)")</f>
        <v>(kliknij lub Ctrl+kliknij)</v>
      </c>
      <c r="H1348" s="0" t="s">
        <v>972</v>
      </c>
    </row>
    <row r="1349" customFormat="false" ht="12.8" hidden="false" customHeight="false" outlineLevel="0" collapsed="false">
      <c r="A1349" s="1" t="s">
        <v>569</v>
      </c>
      <c r="C1349" s="3" t="s">
        <v>970</v>
      </c>
      <c r="D1349" s="4" t="s">
        <v>571</v>
      </c>
      <c r="F1349" s="6" t="s">
        <v>971</v>
      </c>
      <c r="G1349" s="7" t="str">
        <f aca="false">HYPERLINK(CONCATENATE("http://crfop.gdos.gov.pl/CRFOP/widok/viewpomnikprzyrody.jsf?fop=","PL.ZIPOP.1393.PP.1018022.2297"),"(kliknij lub Ctrl+kliknij)")</f>
        <v>(kliknij lub Ctrl+kliknij)</v>
      </c>
      <c r="H1349" s="0" t="s">
        <v>972</v>
      </c>
    </row>
    <row r="1350" customFormat="false" ht="12.8" hidden="false" customHeight="false" outlineLevel="0" collapsed="false">
      <c r="A1350" s="1" t="s">
        <v>569</v>
      </c>
      <c r="C1350" s="3" t="s">
        <v>970</v>
      </c>
      <c r="D1350" s="4" t="s">
        <v>571</v>
      </c>
      <c r="F1350" s="6" t="s">
        <v>971</v>
      </c>
      <c r="G1350" s="7" t="str">
        <f aca="false">HYPERLINK(CONCATENATE("http://crfop.gdos.gov.pl/CRFOP/widok/viewpomnikprzyrody.jsf?fop=","PL.ZIPOP.1393.PP.1018022.2298"),"(kliknij lub Ctrl+kliknij)")</f>
        <v>(kliknij lub Ctrl+kliknij)</v>
      </c>
      <c r="H1350" s="0" t="s">
        <v>972</v>
      </c>
    </row>
    <row r="1351" customFormat="false" ht="12.8" hidden="false" customHeight="false" outlineLevel="0" collapsed="false">
      <c r="A1351" s="1" t="s">
        <v>569</v>
      </c>
      <c r="C1351" s="3" t="s">
        <v>970</v>
      </c>
      <c r="D1351" s="4" t="s">
        <v>571</v>
      </c>
      <c r="F1351" s="6" t="s">
        <v>971</v>
      </c>
      <c r="G1351" s="7" t="str">
        <f aca="false">HYPERLINK(CONCATENATE("http://crfop.gdos.gov.pl/CRFOP/widok/viewpomnikprzyrody.jsf?fop=","PL.ZIPOP.1393.PP.1018022.2299"),"(kliknij lub Ctrl+kliknij)")</f>
        <v>(kliknij lub Ctrl+kliknij)</v>
      </c>
      <c r="H1351" s="0" t="s">
        <v>972</v>
      </c>
    </row>
    <row r="1352" customFormat="false" ht="12.8" hidden="false" customHeight="false" outlineLevel="0" collapsed="false">
      <c r="A1352" s="1" t="s">
        <v>569</v>
      </c>
      <c r="C1352" s="3" t="s">
        <v>584</v>
      </c>
      <c r="D1352" s="4" t="s">
        <v>571</v>
      </c>
      <c r="F1352" s="6" t="s">
        <v>585</v>
      </c>
      <c r="G1352" s="7" t="str">
        <f aca="false">HYPERLINK(CONCATENATE("http://crfop.gdos.gov.pl/CRFOP/widok/viewpomnikprzyrody.jsf?fop=","PL.ZIPOP.1393.PP.1018042.2258"),"(kliknij lub Ctrl+kliknij)")</f>
        <v>(kliknij lub Ctrl+kliknij)</v>
      </c>
    </row>
    <row r="1353" customFormat="false" ht="12.8" hidden="false" customHeight="false" outlineLevel="0" collapsed="false">
      <c r="A1353" s="1" t="s">
        <v>569</v>
      </c>
      <c r="C1353" s="3" t="s">
        <v>584</v>
      </c>
      <c r="D1353" s="4" t="s">
        <v>571</v>
      </c>
      <c r="F1353" s="6" t="s">
        <v>585</v>
      </c>
      <c r="G1353" s="7" t="str">
        <f aca="false">HYPERLINK(CONCATENATE("http://crfop.gdos.gov.pl/CRFOP/widok/viewpomnikprzyrody.jsf?fop=","PL.ZIPOP.1393.PP.1018042.2259"),"(kliknij lub Ctrl+kliknij)")</f>
        <v>(kliknij lub Ctrl+kliknij)</v>
      </c>
    </row>
    <row r="1354" customFormat="false" ht="12.8" hidden="false" customHeight="false" outlineLevel="0" collapsed="false">
      <c r="A1354" s="1" t="s">
        <v>569</v>
      </c>
      <c r="C1354" s="3" t="s">
        <v>584</v>
      </c>
      <c r="D1354" s="4" t="s">
        <v>571</v>
      </c>
      <c r="F1354" s="6" t="s">
        <v>585</v>
      </c>
      <c r="G1354" s="7" t="str">
        <f aca="false">HYPERLINK(CONCATENATE("http://crfop.gdos.gov.pl/CRFOP/widok/viewpomnikprzyrody.jsf?fop=","PL.ZIPOP.1393.PP.1018042.2260"),"(kliknij lub Ctrl+kliknij)")</f>
        <v>(kliknij lub Ctrl+kliknij)</v>
      </c>
    </row>
    <row r="1355" customFormat="false" ht="12.8" hidden="false" customHeight="false" outlineLevel="0" collapsed="false">
      <c r="A1355" s="1" t="s">
        <v>569</v>
      </c>
      <c r="C1355" s="3" t="s">
        <v>584</v>
      </c>
      <c r="D1355" s="4" t="s">
        <v>571</v>
      </c>
      <c r="F1355" s="6" t="s">
        <v>585</v>
      </c>
      <c r="G1355" s="7" t="str">
        <f aca="false">HYPERLINK(CONCATENATE("http://crfop.gdos.gov.pl/CRFOP/widok/viewpomnikprzyrody.jsf?fop=","PL.ZIPOP.1393.PP.1018042.2261"),"(kliknij lub Ctrl+kliknij)")</f>
        <v>(kliknij lub Ctrl+kliknij)</v>
      </c>
    </row>
    <row r="1356" customFormat="false" ht="12.8" hidden="false" customHeight="false" outlineLevel="0" collapsed="false">
      <c r="A1356" s="1" t="s">
        <v>569</v>
      </c>
      <c r="C1356" s="3" t="s">
        <v>584</v>
      </c>
      <c r="D1356" s="4" t="s">
        <v>571</v>
      </c>
      <c r="F1356" s="6" t="s">
        <v>585</v>
      </c>
      <c r="G1356" s="7" t="str">
        <f aca="false">HYPERLINK(CONCATENATE("http://crfop.gdos.gov.pl/CRFOP/widok/viewpomnikprzyrody.jsf?fop=","PL.ZIPOP.1393.PP.1018042.2262"),"(kliknij lub Ctrl+kliknij)")</f>
        <v>(kliknij lub Ctrl+kliknij)</v>
      </c>
    </row>
    <row r="1357" customFormat="false" ht="12.8" hidden="false" customHeight="false" outlineLevel="0" collapsed="false">
      <c r="A1357" s="1" t="s">
        <v>569</v>
      </c>
      <c r="B1357" s="2" t="s">
        <v>973</v>
      </c>
      <c r="C1357" s="3" t="s">
        <v>582</v>
      </c>
      <c r="D1357" s="4" t="s">
        <v>571</v>
      </c>
      <c r="F1357" s="6" t="s">
        <v>774</v>
      </c>
      <c r="G1357" s="7" t="str">
        <f aca="false">HYPERLINK(CONCATENATE("http://crfop.gdos.gov.pl/CRFOP/widok/viewpomnikprzyrody.jsf?fop=","PL.ZIPOP.1393.PP.1018052.3154"),"(kliknij lub Ctrl+kliknij)")</f>
        <v>(kliknij lub Ctrl+kliknij)</v>
      </c>
      <c r="H1357" s="0" t="s">
        <v>974</v>
      </c>
    </row>
    <row r="1358" customFormat="false" ht="12.8" hidden="false" customHeight="false" outlineLevel="0" collapsed="false">
      <c r="A1358" s="1" t="s">
        <v>569</v>
      </c>
      <c r="C1358" s="3" t="s">
        <v>975</v>
      </c>
      <c r="D1358" s="4" t="s">
        <v>571</v>
      </c>
      <c r="F1358" s="6" t="s">
        <v>976</v>
      </c>
      <c r="G1358" s="7" t="str">
        <f aca="false">HYPERLINK(CONCATENATE("http://crfop.gdos.gov.pl/CRFOP/widok/viewpomnikprzyrody.jsf?fop=","PL.ZIPOP.1393.PP.1018062.2264"),"(kliknij lub Ctrl+kliknij)")</f>
        <v>(kliknij lub Ctrl+kliknij)</v>
      </c>
      <c r="H1358" s="0" t="s">
        <v>977</v>
      </c>
    </row>
    <row r="1359" customFormat="false" ht="12.8" hidden="false" customHeight="false" outlineLevel="0" collapsed="false">
      <c r="A1359" s="1" t="s">
        <v>569</v>
      </c>
      <c r="C1359" s="3" t="s">
        <v>975</v>
      </c>
      <c r="D1359" s="4" t="s">
        <v>571</v>
      </c>
      <c r="F1359" s="6" t="s">
        <v>976</v>
      </c>
      <c r="G1359" s="7" t="str">
        <f aca="false">HYPERLINK(CONCATENATE("http://crfop.gdos.gov.pl/CRFOP/widok/viewpomnikprzyrody.jsf?fop=","PL.ZIPOP.1393.PP.1018062.2265"),"(kliknij lub Ctrl+kliknij)")</f>
        <v>(kliknij lub Ctrl+kliknij)</v>
      </c>
      <c r="H1359" s="0" t="s">
        <v>977</v>
      </c>
    </row>
    <row r="1360" customFormat="false" ht="12.8" hidden="false" customHeight="false" outlineLevel="0" collapsed="false">
      <c r="A1360" s="1" t="s">
        <v>569</v>
      </c>
      <c r="C1360" s="3" t="s">
        <v>975</v>
      </c>
      <c r="D1360" s="4" t="s">
        <v>571</v>
      </c>
      <c r="F1360" s="6" t="s">
        <v>976</v>
      </c>
      <c r="G1360" s="7" t="str">
        <f aca="false">HYPERLINK(CONCATENATE("http://crfop.gdos.gov.pl/CRFOP/widok/viewpomnikprzyrody.jsf?fop=","PL.ZIPOP.1393.PP.1018062.2266"),"(kliknij lub Ctrl+kliknij)")</f>
        <v>(kliknij lub Ctrl+kliknij)</v>
      </c>
      <c r="H1360" s="0" t="s">
        <v>977</v>
      </c>
    </row>
    <row r="1361" customFormat="false" ht="12.8" hidden="false" customHeight="false" outlineLevel="0" collapsed="false">
      <c r="A1361" s="1" t="s">
        <v>569</v>
      </c>
      <c r="C1361" s="3" t="s">
        <v>978</v>
      </c>
      <c r="D1361" s="4" t="s">
        <v>571</v>
      </c>
      <c r="F1361" s="6" t="s">
        <v>976</v>
      </c>
      <c r="G1361" s="7" t="str">
        <f aca="false">HYPERLINK(CONCATENATE("http://crfop.gdos.gov.pl/CRFOP/widok/viewpomnikprzyrody.jsf?fop=","PL.ZIPOP.1393.PP.1018062.2268"),"(kliknij lub Ctrl+kliknij)")</f>
        <v>(kliknij lub Ctrl+kliknij)</v>
      </c>
      <c r="H1361" s="0" t="s">
        <v>977</v>
      </c>
    </row>
    <row r="1362" customFormat="false" ht="12.8" hidden="false" customHeight="false" outlineLevel="0" collapsed="false">
      <c r="A1362" s="1" t="s">
        <v>569</v>
      </c>
      <c r="C1362" s="3" t="s">
        <v>978</v>
      </c>
      <c r="D1362" s="4" t="s">
        <v>571</v>
      </c>
      <c r="F1362" s="6" t="s">
        <v>979</v>
      </c>
      <c r="G1362" s="7" t="str">
        <f aca="false">HYPERLINK(CONCATENATE("http://crfop.gdos.gov.pl/CRFOP/widok/viewpomnikprzyrody.jsf?fop=","PL.ZIPOP.1393.PP.1018062.2269"),"(kliknij lub Ctrl+kliknij)")</f>
        <v>(kliknij lub Ctrl+kliknij)</v>
      </c>
      <c r="H1362" s="0" t="s">
        <v>977</v>
      </c>
    </row>
    <row r="1363" customFormat="false" ht="12.8" hidden="false" customHeight="false" outlineLevel="0" collapsed="false">
      <c r="A1363" s="1" t="s">
        <v>569</v>
      </c>
      <c r="C1363" s="3" t="s">
        <v>978</v>
      </c>
      <c r="D1363" s="4" t="s">
        <v>571</v>
      </c>
      <c r="F1363" s="6" t="s">
        <v>979</v>
      </c>
      <c r="G1363" s="7" t="str">
        <f aca="false">HYPERLINK(CONCATENATE("http://crfop.gdos.gov.pl/CRFOP/widok/viewpomnikprzyrody.jsf?fop=","PL.ZIPOP.1393.PP.1018062.2270"),"(kliknij lub Ctrl+kliknij)")</f>
        <v>(kliknij lub Ctrl+kliknij)</v>
      </c>
      <c r="H1363" s="0" t="s">
        <v>977</v>
      </c>
    </row>
    <row r="1364" customFormat="false" ht="12.8" hidden="false" customHeight="false" outlineLevel="0" collapsed="false">
      <c r="A1364" s="1" t="s">
        <v>569</v>
      </c>
      <c r="C1364" s="3" t="s">
        <v>978</v>
      </c>
      <c r="D1364" s="4" t="s">
        <v>571</v>
      </c>
      <c r="F1364" s="6" t="s">
        <v>979</v>
      </c>
      <c r="G1364" s="7" t="str">
        <f aca="false">HYPERLINK(CONCATENATE("http://crfop.gdos.gov.pl/CRFOP/widok/viewpomnikprzyrody.jsf?fop=","PL.ZIPOP.1393.PP.1018062.2271"),"(kliknij lub Ctrl+kliknij)")</f>
        <v>(kliknij lub Ctrl+kliknij)</v>
      </c>
      <c r="H1364" s="0" t="s">
        <v>977</v>
      </c>
    </row>
    <row r="1365" customFormat="false" ht="12.8" hidden="false" customHeight="false" outlineLevel="0" collapsed="false">
      <c r="A1365" s="1" t="s">
        <v>569</v>
      </c>
      <c r="C1365" s="3" t="s">
        <v>975</v>
      </c>
      <c r="D1365" s="4" t="s">
        <v>571</v>
      </c>
      <c r="F1365" s="6" t="s">
        <v>976</v>
      </c>
      <c r="G1365" s="7" t="str">
        <f aca="false">HYPERLINK(CONCATENATE("http://crfop.gdos.gov.pl/CRFOP/widok/viewpomnikprzyrody.jsf?fop=","PL.ZIPOP.1393.PP.1018062.2272"),"(kliknij lub Ctrl+kliknij)")</f>
        <v>(kliknij lub Ctrl+kliknij)</v>
      </c>
      <c r="H1365" s="0" t="s">
        <v>977</v>
      </c>
    </row>
    <row r="1366" customFormat="false" ht="12.8" hidden="false" customHeight="false" outlineLevel="0" collapsed="false">
      <c r="A1366" s="1" t="s">
        <v>569</v>
      </c>
      <c r="C1366" s="3" t="s">
        <v>978</v>
      </c>
      <c r="D1366" s="4" t="s">
        <v>571</v>
      </c>
      <c r="F1366" s="6" t="s">
        <v>979</v>
      </c>
      <c r="G1366" s="7" t="str">
        <f aca="false">HYPERLINK(CONCATENATE("http://crfop.gdos.gov.pl/CRFOP/widok/viewpomnikprzyrody.jsf?fop=","PL.ZIPOP.1393.PP.1018062.2273"),"(kliknij lub Ctrl+kliknij)")</f>
        <v>(kliknij lub Ctrl+kliknij)</v>
      </c>
      <c r="H1366" s="0" t="s">
        <v>977</v>
      </c>
    </row>
    <row r="1367" customFormat="false" ht="12.8" hidden="false" customHeight="false" outlineLevel="0" collapsed="false">
      <c r="A1367" s="1" t="s">
        <v>569</v>
      </c>
      <c r="C1367" s="3" t="s">
        <v>978</v>
      </c>
      <c r="D1367" s="4" t="s">
        <v>571</v>
      </c>
      <c r="F1367" s="6" t="s">
        <v>979</v>
      </c>
      <c r="G1367" s="7" t="str">
        <f aca="false">HYPERLINK(CONCATENATE("http://crfop.gdos.gov.pl/CRFOP/widok/viewpomnikprzyrody.jsf?fop=","PL.ZIPOP.1393.PP.1018062.2274"),"(kliknij lub Ctrl+kliknij)")</f>
        <v>(kliknij lub Ctrl+kliknij)</v>
      </c>
      <c r="H1367" s="0" t="s">
        <v>977</v>
      </c>
    </row>
    <row r="1368" customFormat="false" ht="12.8" hidden="false" customHeight="false" outlineLevel="0" collapsed="false">
      <c r="A1368" s="1" t="s">
        <v>569</v>
      </c>
      <c r="C1368" s="3" t="s">
        <v>978</v>
      </c>
      <c r="D1368" s="4" t="s">
        <v>571</v>
      </c>
      <c r="F1368" s="6" t="s">
        <v>979</v>
      </c>
      <c r="G1368" s="7" t="str">
        <f aca="false">HYPERLINK(CONCATENATE("http://crfop.gdos.gov.pl/CRFOP/widok/viewpomnikprzyrody.jsf?fop=","PL.ZIPOP.1393.PP.1018062.2275"),"(kliknij lub Ctrl+kliknij)")</f>
        <v>(kliknij lub Ctrl+kliknij)</v>
      </c>
      <c r="H1368" s="0" t="s">
        <v>977</v>
      </c>
    </row>
    <row r="1369" customFormat="false" ht="12.8" hidden="false" customHeight="false" outlineLevel="0" collapsed="false">
      <c r="A1369" s="1" t="s">
        <v>569</v>
      </c>
      <c r="C1369" s="3" t="s">
        <v>978</v>
      </c>
      <c r="D1369" s="4" t="s">
        <v>571</v>
      </c>
      <c r="F1369" s="6" t="s">
        <v>979</v>
      </c>
      <c r="G1369" s="7" t="str">
        <f aca="false">HYPERLINK(CONCATENATE("http://crfop.gdos.gov.pl/CRFOP/widok/viewpomnikprzyrody.jsf?fop=","PL.ZIPOP.1393.PP.1018062.2276"),"(kliknij lub Ctrl+kliknij)")</f>
        <v>(kliknij lub Ctrl+kliknij)</v>
      </c>
      <c r="H1369" s="0" t="s">
        <v>977</v>
      </c>
    </row>
    <row r="1370" customFormat="false" ht="12.8" hidden="false" customHeight="false" outlineLevel="0" collapsed="false">
      <c r="A1370" s="1" t="s">
        <v>569</v>
      </c>
      <c r="C1370" s="3" t="s">
        <v>978</v>
      </c>
      <c r="D1370" s="4" t="s">
        <v>571</v>
      </c>
      <c r="F1370" s="6" t="s">
        <v>979</v>
      </c>
      <c r="G1370" s="7" t="str">
        <f aca="false">HYPERLINK(CONCATENATE("http://crfop.gdos.gov.pl/CRFOP/widok/viewpomnikprzyrody.jsf?fop=","PL.ZIPOP.1393.PP.1018062.2277"),"(kliknij lub Ctrl+kliknij)")</f>
        <v>(kliknij lub Ctrl+kliknij)</v>
      </c>
      <c r="H1370" s="0" t="s">
        <v>977</v>
      </c>
    </row>
    <row r="1371" customFormat="false" ht="12.8" hidden="false" customHeight="false" outlineLevel="0" collapsed="false">
      <c r="A1371" s="1" t="s">
        <v>569</v>
      </c>
      <c r="C1371" s="3" t="s">
        <v>978</v>
      </c>
      <c r="D1371" s="4" t="s">
        <v>571</v>
      </c>
      <c r="F1371" s="6" t="s">
        <v>979</v>
      </c>
      <c r="G1371" s="7" t="str">
        <f aca="false">HYPERLINK(CONCATENATE("http://crfop.gdos.gov.pl/CRFOP/widok/viewpomnikprzyrody.jsf?fop=","PL.ZIPOP.1393.PP.1018062.2278"),"(kliknij lub Ctrl+kliknij)")</f>
        <v>(kliknij lub Ctrl+kliknij)</v>
      </c>
      <c r="H1371" s="0" t="s">
        <v>977</v>
      </c>
    </row>
    <row r="1372" customFormat="false" ht="12.8" hidden="false" customHeight="false" outlineLevel="0" collapsed="false">
      <c r="A1372" s="1" t="s">
        <v>569</v>
      </c>
      <c r="C1372" s="3" t="s">
        <v>978</v>
      </c>
      <c r="D1372" s="4" t="s">
        <v>571</v>
      </c>
      <c r="F1372" s="6" t="s">
        <v>979</v>
      </c>
      <c r="G1372" s="7" t="str">
        <f aca="false">HYPERLINK(CONCATENATE("http://crfop.gdos.gov.pl/CRFOP/widok/viewpomnikprzyrody.jsf?fop=","PL.ZIPOP.1393.PP.1018062.2280"),"(kliknij lub Ctrl+kliknij)")</f>
        <v>(kliknij lub Ctrl+kliknij)</v>
      </c>
      <c r="H1372" s="0" t="s">
        <v>977</v>
      </c>
    </row>
    <row r="1373" customFormat="false" ht="12.8" hidden="false" customHeight="false" outlineLevel="0" collapsed="false">
      <c r="A1373" s="1" t="s">
        <v>569</v>
      </c>
      <c r="C1373" s="3" t="s">
        <v>978</v>
      </c>
      <c r="D1373" s="4" t="s">
        <v>571</v>
      </c>
      <c r="F1373" s="6" t="s">
        <v>980</v>
      </c>
      <c r="G1373" s="7" t="str">
        <f aca="false">HYPERLINK(CONCATENATE("http://crfop.gdos.gov.pl/CRFOP/widok/viewpomnikprzyrody.jsf?fop=","PL.ZIPOP.1393.PP.1018062.2283"),"(kliknij lub Ctrl+kliknij)")</f>
        <v>(kliknij lub Ctrl+kliknij)</v>
      </c>
      <c r="H1373" s="0" t="s">
        <v>977</v>
      </c>
    </row>
    <row r="1374" customFormat="false" ht="12.8" hidden="false" customHeight="false" outlineLevel="0" collapsed="false">
      <c r="A1374" s="1" t="s">
        <v>569</v>
      </c>
      <c r="C1374" s="3" t="s">
        <v>970</v>
      </c>
      <c r="D1374" s="4" t="s">
        <v>571</v>
      </c>
      <c r="F1374" s="6" t="s">
        <v>979</v>
      </c>
      <c r="G1374" s="7" t="str">
        <f aca="false">HYPERLINK(CONCATENATE("http://crfop.gdos.gov.pl/CRFOP/widok/viewpomnikprzyrody.jsf?fop=","PL.ZIPOP.1393.PP.1018062.2284"),"(kliknij lub Ctrl+kliknij)")</f>
        <v>(kliknij lub Ctrl+kliknij)</v>
      </c>
      <c r="H1374" s="0" t="s">
        <v>977</v>
      </c>
    </row>
    <row r="1375" customFormat="false" ht="12.8" hidden="false" customHeight="false" outlineLevel="0" collapsed="false">
      <c r="A1375" s="1" t="s">
        <v>569</v>
      </c>
      <c r="C1375" s="3" t="s">
        <v>970</v>
      </c>
      <c r="D1375" s="4" t="s">
        <v>571</v>
      </c>
      <c r="F1375" s="6" t="s">
        <v>979</v>
      </c>
      <c r="G1375" s="7" t="str">
        <f aca="false">HYPERLINK(CONCATENATE("http://crfop.gdos.gov.pl/CRFOP/widok/viewpomnikprzyrody.jsf?fop=","PL.ZIPOP.1393.PP.1018062.2285"),"(kliknij lub Ctrl+kliknij)")</f>
        <v>(kliknij lub Ctrl+kliknij)</v>
      </c>
      <c r="H1375" s="0" t="s">
        <v>977</v>
      </c>
    </row>
    <row r="1376" customFormat="false" ht="12.8" hidden="false" customHeight="false" outlineLevel="0" collapsed="false">
      <c r="A1376" s="1" t="s">
        <v>569</v>
      </c>
      <c r="C1376" s="3" t="s">
        <v>970</v>
      </c>
      <c r="D1376" s="4" t="s">
        <v>571</v>
      </c>
      <c r="F1376" s="6" t="s">
        <v>979</v>
      </c>
      <c r="G1376" s="7" t="str">
        <f aca="false">HYPERLINK(CONCATENATE("http://crfop.gdos.gov.pl/CRFOP/widok/viewpomnikprzyrody.jsf?fop=","PL.ZIPOP.1393.PP.1018062.2286"),"(kliknij lub Ctrl+kliknij)")</f>
        <v>(kliknij lub Ctrl+kliknij)</v>
      </c>
      <c r="H1376" s="0" t="s">
        <v>977</v>
      </c>
    </row>
    <row r="1377" customFormat="false" ht="12.8" hidden="false" customHeight="false" outlineLevel="0" collapsed="false">
      <c r="A1377" s="1" t="s">
        <v>569</v>
      </c>
      <c r="C1377" s="3" t="s">
        <v>970</v>
      </c>
      <c r="D1377" s="4" t="s">
        <v>571</v>
      </c>
      <c r="F1377" s="6" t="s">
        <v>979</v>
      </c>
      <c r="G1377" s="7" t="str">
        <f aca="false">HYPERLINK(CONCATENATE("http://crfop.gdos.gov.pl/CRFOP/widok/viewpomnikprzyrody.jsf?fop=","PL.ZIPOP.1393.PP.1018062.2287"),"(kliknij lub Ctrl+kliknij)")</f>
        <v>(kliknij lub Ctrl+kliknij)</v>
      </c>
      <c r="H1377" s="0" t="s">
        <v>977</v>
      </c>
    </row>
    <row r="1378" customFormat="false" ht="12.8" hidden="false" customHeight="false" outlineLevel="0" collapsed="false">
      <c r="A1378" s="1" t="s">
        <v>569</v>
      </c>
      <c r="C1378" s="3" t="s">
        <v>981</v>
      </c>
      <c r="D1378" s="4" t="s">
        <v>571</v>
      </c>
      <c r="F1378" s="6" t="s">
        <v>982</v>
      </c>
      <c r="G1378" s="7" t="str">
        <f aca="false">HYPERLINK(CONCATENATE("http://crfop.gdos.gov.pl/CRFOP/widok/viewpomnikprzyrody.jsf?fop=","PL.ZIPOP.1393.PP.1018062.2288"),"(kliknij lub Ctrl+kliknij)")</f>
        <v>(kliknij lub Ctrl+kliknij)</v>
      </c>
      <c r="H1378" s="0" t="s">
        <v>977</v>
      </c>
    </row>
    <row r="1379" customFormat="false" ht="12.8" hidden="false" customHeight="false" outlineLevel="0" collapsed="false">
      <c r="A1379" s="1" t="s">
        <v>569</v>
      </c>
      <c r="B1379" s="2" t="s">
        <v>983</v>
      </c>
      <c r="C1379" s="3" t="s">
        <v>582</v>
      </c>
      <c r="D1379" s="4" t="s">
        <v>571</v>
      </c>
      <c r="F1379" s="6" t="s">
        <v>774</v>
      </c>
      <c r="G1379" s="7" t="str">
        <f aca="false">HYPERLINK(CONCATENATE("http://crfop.gdos.gov.pl/CRFOP/widok/viewpomnikprzyrody.jsf?fop=","PL.ZIPOP.1393.PP.1018062.2289"),"(kliknij lub Ctrl+kliknij)")</f>
        <v>(kliknij lub Ctrl+kliknij)</v>
      </c>
      <c r="H1379" s="0" t="s">
        <v>977</v>
      </c>
    </row>
    <row r="1380" customFormat="false" ht="12.8" hidden="false" customHeight="false" outlineLevel="0" collapsed="false">
      <c r="A1380" s="1" t="s">
        <v>569</v>
      </c>
      <c r="C1380" s="3" t="s">
        <v>984</v>
      </c>
      <c r="D1380" s="4" t="s">
        <v>571</v>
      </c>
      <c r="F1380" s="6" t="s">
        <v>985</v>
      </c>
      <c r="G1380" s="7" t="str">
        <f aca="false">HYPERLINK(CONCATENATE("http://crfop.gdos.gov.pl/CRFOP/widok/viewpomnikprzyrody.jsf?fop=","PL.ZIPOP.1393.PP.1018073.2302"),"(kliknij lub Ctrl+kliknij)")</f>
        <v>(kliknij lub Ctrl+kliknij)</v>
      </c>
      <c r="H1380" s="0" t="s">
        <v>986</v>
      </c>
    </row>
    <row r="1381" customFormat="false" ht="12.8" hidden="false" customHeight="false" outlineLevel="0" collapsed="false">
      <c r="A1381" s="1" t="s">
        <v>569</v>
      </c>
      <c r="C1381" s="3" t="s">
        <v>987</v>
      </c>
      <c r="D1381" s="4" t="s">
        <v>571</v>
      </c>
      <c r="F1381" s="6" t="s">
        <v>988</v>
      </c>
      <c r="G1381" s="7" t="str">
        <f aca="false">HYPERLINK(CONCATENATE("http://crfop.gdos.gov.pl/CRFOP/widok/viewpomnikprzyrody.jsf?fop=","PL.ZIPOP.1393.PP.1018073.2303"),"(kliknij lub Ctrl+kliknij)")</f>
        <v>(kliknij lub Ctrl+kliknij)</v>
      </c>
      <c r="H1381" s="0" t="s">
        <v>986</v>
      </c>
    </row>
    <row r="1382" customFormat="false" ht="12.8" hidden="false" customHeight="false" outlineLevel="0" collapsed="false">
      <c r="A1382" s="1" t="s">
        <v>569</v>
      </c>
      <c r="C1382" s="3" t="s">
        <v>989</v>
      </c>
      <c r="D1382" s="4" t="s">
        <v>571</v>
      </c>
      <c r="F1382" s="6" t="s">
        <v>743</v>
      </c>
      <c r="G1382" s="7" t="str">
        <f aca="false">HYPERLINK(CONCATENATE("http://crfop.gdos.gov.pl/CRFOP/widok/viewpomnikprzyrody.jsf?fop=","PL.ZIPOP.1393.PP.1018073.2304"),"(kliknij lub Ctrl+kliknij)")</f>
        <v>(kliknij lub Ctrl+kliknij)</v>
      </c>
      <c r="H1382" s="0" t="s">
        <v>986</v>
      </c>
    </row>
    <row r="1383" customFormat="false" ht="12.8" hidden="false" customHeight="false" outlineLevel="0" collapsed="false">
      <c r="A1383" s="1" t="s">
        <v>569</v>
      </c>
      <c r="C1383" s="3" t="s">
        <v>584</v>
      </c>
      <c r="D1383" s="4" t="s">
        <v>571</v>
      </c>
      <c r="F1383" s="6" t="s">
        <v>585</v>
      </c>
      <c r="G1383" s="7" t="str">
        <f aca="false">HYPERLINK(CONCATENATE("http://crfop.gdos.gov.pl/CRFOP/widok/viewpomnikprzyrody.jsf?fop=","PL.ZIPOP.1393.PP.1019011.2180"),"(kliknij lub Ctrl+kliknij)")</f>
        <v>(kliknij lub Ctrl+kliknij)</v>
      </c>
      <c r="H1383" s="0" t="s">
        <v>990</v>
      </c>
    </row>
    <row r="1384" customFormat="false" ht="12.8" hidden="false" customHeight="false" outlineLevel="0" collapsed="false">
      <c r="A1384" s="1" t="s">
        <v>569</v>
      </c>
      <c r="C1384" s="3" t="s">
        <v>584</v>
      </c>
      <c r="D1384" s="4" t="s">
        <v>571</v>
      </c>
      <c r="F1384" s="6" t="s">
        <v>585</v>
      </c>
      <c r="G1384" s="7" t="str">
        <f aca="false">HYPERLINK(CONCATENATE("http://crfop.gdos.gov.pl/CRFOP/widok/viewpomnikprzyrody.jsf?fop=","PL.ZIPOP.1393.PP.1019011.2181"),"(kliknij lub Ctrl+kliknij)")</f>
        <v>(kliknij lub Ctrl+kliknij)</v>
      </c>
      <c r="H1384" s="0" t="s">
        <v>990</v>
      </c>
    </row>
    <row r="1385" customFormat="false" ht="12.8" hidden="false" customHeight="false" outlineLevel="0" collapsed="false">
      <c r="A1385" s="1" t="s">
        <v>569</v>
      </c>
      <c r="C1385" s="3" t="s">
        <v>584</v>
      </c>
      <c r="D1385" s="4" t="s">
        <v>571</v>
      </c>
      <c r="F1385" s="6" t="s">
        <v>585</v>
      </c>
      <c r="G1385" s="7" t="str">
        <f aca="false">HYPERLINK(CONCATENATE("http://crfop.gdos.gov.pl/CRFOP/widok/viewpomnikprzyrody.jsf?fop=","PL.ZIPOP.1393.PP.1019011.2184"),"(kliknij lub Ctrl+kliknij)")</f>
        <v>(kliknij lub Ctrl+kliknij)</v>
      </c>
      <c r="H1385" s="0" t="s">
        <v>990</v>
      </c>
    </row>
    <row r="1386" customFormat="false" ht="12.8" hidden="false" customHeight="false" outlineLevel="0" collapsed="false">
      <c r="A1386" s="1" t="s">
        <v>569</v>
      </c>
      <c r="C1386" s="3" t="s">
        <v>584</v>
      </c>
      <c r="D1386" s="4" t="s">
        <v>571</v>
      </c>
      <c r="F1386" s="6" t="s">
        <v>585</v>
      </c>
      <c r="G1386" s="7" t="str">
        <f aca="false">HYPERLINK(CONCATENATE("http://crfop.gdos.gov.pl/CRFOP/widok/viewpomnikprzyrody.jsf?fop=","PL.ZIPOP.1393.PP.1019011.2185"),"(kliknij lub Ctrl+kliknij)")</f>
        <v>(kliknij lub Ctrl+kliknij)</v>
      </c>
      <c r="H1386" s="0" t="s">
        <v>990</v>
      </c>
    </row>
    <row r="1387" customFormat="false" ht="12.8" hidden="false" customHeight="false" outlineLevel="0" collapsed="false">
      <c r="A1387" s="1" t="s">
        <v>569</v>
      </c>
      <c r="C1387" s="3" t="s">
        <v>584</v>
      </c>
      <c r="D1387" s="4" t="s">
        <v>571</v>
      </c>
      <c r="F1387" s="6" t="s">
        <v>585</v>
      </c>
      <c r="G1387" s="7" t="str">
        <f aca="false">HYPERLINK(CONCATENATE("http://crfop.gdos.gov.pl/CRFOP/widok/viewpomnikprzyrody.jsf?fop=","PL.ZIPOP.1393.PP.1019011.2187"),"(kliknij lub Ctrl+kliknij)")</f>
        <v>(kliknij lub Ctrl+kliknij)</v>
      </c>
      <c r="H1387" s="0" t="s">
        <v>990</v>
      </c>
    </row>
    <row r="1388" customFormat="false" ht="12.8" hidden="false" customHeight="false" outlineLevel="0" collapsed="false">
      <c r="A1388" s="1" t="s">
        <v>569</v>
      </c>
      <c r="C1388" s="3" t="s">
        <v>584</v>
      </c>
      <c r="D1388" s="4" t="s">
        <v>571</v>
      </c>
      <c r="F1388" s="6" t="s">
        <v>585</v>
      </c>
      <c r="G1388" s="7" t="str">
        <f aca="false">HYPERLINK(CONCATENATE("http://crfop.gdos.gov.pl/CRFOP/widok/viewpomnikprzyrody.jsf?fop=","PL.ZIPOP.1393.PP.1019011.2188"),"(kliknij lub Ctrl+kliknij)")</f>
        <v>(kliknij lub Ctrl+kliknij)</v>
      </c>
      <c r="H1388" s="0" t="s">
        <v>990</v>
      </c>
    </row>
    <row r="1389" customFormat="false" ht="12.8" hidden="false" customHeight="false" outlineLevel="0" collapsed="false">
      <c r="A1389" s="1" t="s">
        <v>569</v>
      </c>
      <c r="C1389" s="3" t="s">
        <v>991</v>
      </c>
      <c r="D1389" s="4" t="s">
        <v>571</v>
      </c>
      <c r="F1389" s="6" t="s">
        <v>992</v>
      </c>
      <c r="G1389" s="7" t="str">
        <f aca="false">HYPERLINK(CONCATENATE("http://crfop.gdos.gov.pl/CRFOP/widok/viewpomnikprzyrody.jsf?fop=","PL.ZIPOP.1393.PP.1019011.2189"),"(kliknij lub Ctrl+kliknij)")</f>
        <v>(kliknij lub Ctrl+kliknij)</v>
      </c>
      <c r="H1389" s="0" t="s">
        <v>990</v>
      </c>
    </row>
    <row r="1390" customFormat="false" ht="12.8" hidden="false" customHeight="false" outlineLevel="0" collapsed="false">
      <c r="A1390" s="1" t="s">
        <v>569</v>
      </c>
      <c r="C1390" s="3" t="s">
        <v>723</v>
      </c>
      <c r="D1390" s="4" t="s">
        <v>571</v>
      </c>
      <c r="F1390" s="6" t="s">
        <v>993</v>
      </c>
      <c r="G1390" s="7" t="str">
        <f aca="false">HYPERLINK(CONCATENATE("http://crfop.gdos.gov.pl/CRFOP/widok/viewpomnikprzyrody.jsf?fop=","PL.ZIPOP.1393.PP.1019011.2191"),"(kliknij lub Ctrl+kliknij)")</f>
        <v>(kliknij lub Ctrl+kliknij)</v>
      </c>
      <c r="H1390" s="0" t="s">
        <v>990</v>
      </c>
    </row>
    <row r="1391" customFormat="false" ht="12.8" hidden="false" customHeight="false" outlineLevel="0" collapsed="false">
      <c r="A1391" s="1" t="s">
        <v>569</v>
      </c>
      <c r="C1391" s="3" t="s">
        <v>723</v>
      </c>
      <c r="D1391" s="4" t="s">
        <v>571</v>
      </c>
      <c r="F1391" s="6" t="s">
        <v>994</v>
      </c>
      <c r="G1391" s="7" t="str">
        <f aca="false">HYPERLINK(CONCATENATE("http://crfop.gdos.gov.pl/CRFOP/widok/viewpomnikprzyrody.jsf?fop=","PL.ZIPOP.1393.PP.1019011.2192"),"(kliknij lub Ctrl+kliknij)")</f>
        <v>(kliknij lub Ctrl+kliknij)</v>
      </c>
      <c r="H1391" s="0" t="s">
        <v>990</v>
      </c>
    </row>
    <row r="1392" customFormat="false" ht="12.8" hidden="false" customHeight="false" outlineLevel="0" collapsed="false">
      <c r="A1392" s="1" t="s">
        <v>569</v>
      </c>
      <c r="C1392" s="3" t="s">
        <v>723</v>
      </c>
      <c r="D1392" s="4" t="s">
        <v>571</v>
      </c>
      <c r="F1392" s="6" t="s">
        <v>993</v>
      </c>
      <c r="G1392" s="7" t="str">
        <f aca="false">HYPERLINK(CONCATENATE("http://crfop.gdos.gov.pl/CRFOP/widok/viewpomnikprzyrody.jsf?fop=","PL.ZIPOP.1393.PP.1019011.2195"),"(kliknij lub Ctrl+kliknij)")</f>
        <v>(kliknij lub Ctrl+kliknij)</v>
      </c>
      <c r="H1392" s="0" t="s">
        <v>990</v>
      </c>
    </row>
    <row r="1393" customFormat="false" ht="12.8" hidden="false" customHeight="false" outlineLevel="0" collapsed="false">
      <c r="A1393" s="1" t="s">
        <v>569</v>
      </c>
      <c r="C1393" s="3" t="s">
        <v>584</v>
      </c>
      <c r="D1393" s="4" t="s">
        <v>571</v>
      </c>
      <c r="F1393" s="6" t="s">
        <v>585</v>
      </c>
      <c r="G1393" s="7" t="str">
        <f aca="false">HYPERLINK(CONCATENATE("http://crfop.gdos.gov.pl/CRFOP/widok/viewpomnikprzyrody.jsf?fop=","PL.ZIPOP.1393.PP.1019023.2198"),"(kliknij lub Ctrl+kliknij)")</f>
        <v>(kliknij lub Ctrl+kliknij)</v>
      </c>
      <c r="H1393" s="0" t="s">
        <v>995</v>
      </c>
    </row>
    <row r="1394" customFormat="false" ht="12.8" hidden="false" customHeight="false" outlineLevel="0" collapsed="false">
      <c r="A1394" s="1" t="s">
        <v>569</v>
      </c>
      <c r="C1394" s="3" t="s">
        <v>584</v>
      </c>
      <c r="D1394" s="4" t="s">
        <v>571</v>
      </c>
      <c r="F1394" s="6" t="s">
        <v>585</v>
      </c>
      <c r="G1394" s="7" t="str">
        <f aca="false">HYPERLINK(CONCATENATE("http://crfop.gdos.gov.pl/CRFOP/widok/viewpomnikprzyrody.jsf?fop=","PL.ZIPOP.1393.PP.1019023.2199"),"(kliknij lub Ctrl+kliknij)")</f>
        <v>(kliknij lub Ctrl+kliknij)</v>
      </c>
      <c r="H1394" s="0" t="s">
        <v>995</v>
      </c>
    </row>
    <row r="1395" customFormat="false" ht="12.8" hidden="false" customHeight="false" outlineLevel="0" collapsed="false">
      <c r="A1395" s="1" t="s">
        <v>569</v>
      </c>
      <c r="C1395" s="3" t="s">
        <v>584</v>
      </c>
      <c r="D1395" s="4" t="s">
        <v>571</v>
      </c>
      <c r="F1395" s="6" t="s">
        <v>585</v>
      </c>
      <c r="G1395" s="7" t="str">
        <f aca="false">HYPERLINK(CONCATENATE("http://crfop.gdos.gov.pl/CRFOP/widok/viewpomnikprzyrody.jsf?fop=","PL.ZIPOP.1393.PP.1019023.2200"),"(kliknij lub Ctrl+kliknij)")</f>
        <v>(kliknij lub Ctrl+kliknij)</v>
      </c>
      <c r="H1395" s="0" t="s">
        <v>995</v>
      </c>
    </row>
    <row r="1396" customFormat="false" ht="12.8" hidden="false" customHeight="false" outlineLevel="0" collapsed="false">
      <c r="A1396" s="1" t="s">
        <v>569</v>
      </c>
      <c r="C1396" s="3" t="s">
        <v>584</v>
      </c>
      <c r="D1396" s="4" t="s">
        <v>571</v>
      </c>
      <c r="F1396" s="6" t="s">
        <v>585</v>
      </c>
      <c r="G1396" s="7" t="str">
        <f aca="false">HYPERLINK(CONCATENATE("http://crfop.gdos.gov.pl/CRFOP/widok/viewpomnikprzyrody.jsf?fop=","PL.ZIPOP.1393.PP.1019023.2201"),"(kliknij lub Ctrl+kliknij)")</f>
        <v>(kliknij lub Ctrl+kliknij)</v>
      </c>
      <c r="H1396" s="0" t="s">
        <v>995</v>
      </c>
    </row>
    <row r="1397" customFormat="false" ht="12.8" hidden="false" customHeight="false" outlineLevel="0" collapsed="false">
      <c r="A1397" s="1" t="s">
        <v>569</v>
      </c>
      <c r="C1397" s="3" t="s">
        <v>584</v>
      </c>
      <c r="D1397" s="4" t="s">
        <v>571</v>
      </c>
      <c r="F1397" s="6" t="s">
        <v>585</v>
      </c>
      <c r="G1397" s="7" t="str">
        <f aca="false">HYPERLINK(CONCATENATE("http://crfop.gdos.gov.pl/CRFOP/widok/viewpomnikprzyrody.jsf?fop=","PL.ZIPOP.1393.PP.1019023.2202"),"(kliknij lub Ctrl+kliknij)")</f>
        <v>(kliknij lub Ctrl+kliknij)</v>
      </c>
      <c r="H1397" s="0" t="s">
        <v>995</v>
      </c>
    </row>
    <row r="1398" customFormat="false" ht="12.8" hidden="false" customHeight="false" outlineLevel="0" collapsed="false">
      <c r="A1398" s="1" t="s">
        <v>569</v>
      </c>
      <c r="C1398" s="3" t="s">
        <v>584</v>
      </c>
      <c r="D1398" s="4" t="s">
        <v>571</v>
      </c>
      <c r="F1398" s="6" t="s">
        <v>585</v>
      </c>
      <c r="G1398" s="7" t="str">
        <f aca="false">HYPERLINK(CONCATENATE("http://crfop.gdos.gov.pl/CRFOP/widok/viewpomnikprzyrody.jsf?fop=","PL.ZIPOP.1393.PP.1019023.2203"),"(kliknij lub Ctrl+kliknij)")</f>
        <v>(kliknij lub Ctrl+kliknij)</v>
      </c>
      <c r="H1398" s="0" t="s">
        <v>995</v>
      </c>
    </row>
    <row r="1399" customFormat="false" ht="12.8" hidden="false" customHeight="false" outlineLevel="0" collapsed="false">
      <c r="A1399" s="1" t="s">
        <v>569</v>
      </c>
      <c r="C1399" s="3" t="s">
        <v>584</v>
      </c>
      <c r="D1399" s="4" t="s">
        <v>571</v>
      </c>
      <c r="F1399" s="6" t="s">
        <v>585</v>
      </c>
      <c r="G1399" s="7" t="str">
        <f aca="false">HYPERLINK(CONCATENATE("http://crfop.gdos.gov.pl/CRFOP/widok/viewpomnikprzyrody.jsf?fop=","PL.ZIPOP.1393.PP.1019023.2204"),"(kliknij lub Ctrl+kliknij)")</f>
        <v>(kliknij lub Ctrl+kliknij)</v>
      </c>
      <c r="H1399" s="0" t="s">
        <v>995</v>
      </c>
    </row>
    <row r="1400" customFormat="false" ht="12.8" hidden="false" customHeight="false" outlineLevel="0" collapsed="false">
      <c r="A1400" s="1" t="s">
        <v>569</v>
      </c>
      <c r="C1400" s="3" t="s">
        <v>584</v>
      </c>
      <c r="D1400" s="4" t="s">
        <v>571</v>
      </c>
      <c r="F1400" s="6" t="s">
        <v>585</v>
      </c>
      <c r="G1400" s="7" t="str">
        <f aca="false">HYPERLINK(CONCATENATE("http://crfop.gdos.gov.pl/CRFOP/widok/viewpomnikprzyrody.jsf?fop=","PL.ZIPOP.1393.PP.1019023.2205"),"(kliknij lub Ctrl+kliknij)")</f>
        <v>(kliknij lub Ctrl+kliknij)</v>
      </c>
      <c r="H1400" s="0" t="s">
        <v>995</v>
      </c>
    </row>
    <row r="1401" customFormat="false" ht="12.8" hidden="false" customHeight="false" outlineLevel="0" collapsed="false">
      <c r="A1401" s="1" t="s">
        <v>569</v>
      </c>
      <c r="C1401" s="3" t="s">
        <v>584</v>
      </c>
      <c r="D1401" s="4" t="s">
        <v>571</v>
      </c>
      <c r="F1401" s="6" t="s">
        <v>585</v>
      </c>
      <c r="G1401" s="7" t="str">
        <f aca="false">HYPERLINK(CONCATENATE("http://crfop.gdos.gov.pl/CRFOP/widok/viewpomnikprzyrody.jsf?fop=","PL.ZIPOP.1393.PP.1019023.2206"),"(kliknij lub Ctrl+kliknij)")</f>
        <v>(kliknij lub Ctrl+kliknij)</v>
      </c>
      <c r="H1401" s="0" t="s">
        <v>995</v>
      </c>
    </row>
    <row r="1402" customFormat="false" ht="12.8" hidden="false" customHeight="false" outlineLevel="0" collapsed="false">
      <c r="A1402" s="1" t="s">
        <v>569</v>
      </c>
      <c r="C1402" s="3" t="s">
        <v>584</v>
      </c>
      <c r="D1402" s="4" t="s">
        <v>571</v>
      </c>
      <c r="F1402" s="6" t="s">
        <v>585</v>
      </c>
      <c r="G1402" s="7" t="str">
        <f aca="false">HYPERLINK(CONCATENATE("http://crfop.gdos.gov.pl/CRFOP/widok/viewpomnikprzyrody.jsf?fop=","PL.ZIPOP.1393.PP.1019023.2207"),"(kliknij lub Ctrl+kliknij)")</f>
        <v>(kliknij lub Ctrl+kliknij)</v>
      </c>
      <c r="H1402" s="0" t="s">
        <v>995</v>
      </c>
    </row>
    <row r="1403" customFormat="false" ht="12.8" hidden="false" customHeight="false" outlineLevel="0" collapsed="false">
      <c r="A1403" s="1" t="s">
        <v>569</v>
      </c>
      <c r="C1403" s="3" t="s">
        <v>584</v>
      </c>
      <c r="D1403" s="4" t="s">
        <v>571</v>
      </c>
      <c r="F1403" s="6" t="s">
        <v>585</v>
      </c>
      <c r="G1403" s="7" t="str">
        <f aca="false">HYPERLINK(CONCATENATE("http://crfop.gdos.gov.pl/CRFOP/widok/viewpomnikprzyrody.jsf?fop=","PL.ZIPOP.1393.PP.1019023.2209"),"(kliknij lub Ctrl+kliknij)")</f>
        <v>(kliknij lub Ctrl+kliknij)</v>
      </c>
      <c r="H1403" s="0" t="s">
        <v>995</v>
      </c>
    </row>
    <row r="1404" customFormat="false" ht="12.8" hidden="false" customHeight="false" outlineLevel="0" collapsed="false">
      <c r="A1404" s="1" t="s">
        <v>569</v>
      </c>
      <c r="C1404" s="3" t="s">
        <v>584</v>
      </c>
      <c r="D1404" s="4" t="s">
        <v>571</v>
      </c>
      <c r="F1404" s="6" t="s">
        <v>585</v>
      </c>
      <c r="G1404" s="7" t="str">
        <f aca="false">HYPERLINK(CONCATENATE("http://crfop.gdos.gov.pl/CRFOP/widok/viewpomnikprzyrody.jsf?fop=","PL.ZIPOP.1393.PP.1019023.2210"),"(kliknij lub Ctrl+kliknij)")</f>
        <v>(kliknij lub Ctrl+kliknij)</v>
      </c>
      <c r="H1404" s="0" t="s">
        <v>995</v>
      </c>
    </row>
    <row r="1405" customFormat="false" ht="12.8" hidden="false" customHeight="false" outlineLevel="0" collapsed="false">
      <c r="A1405" s="1" t="s">
        <v>569</v>
      </c>
      <c r="C1405" s="3" t="s">
        <v>584</v>
      </c>
      <c r="D1405" s="4" t="s">
        <v>571</v>
      </c>
      <c r="F1405" s="6" t="s">
        <v>585</v>
      </c>
      <c r="G1405" s="7" t="str">
        <f aca="false">HYPERLINK(CONCATENATE("http://crfop.gdos.gov.pl/CRFOP/widok/viewpomnikprzyrody.jsf?fop=","PL.ZIPOP.1393.PP.1019023.2211"),"(kliknij lub Ctrl+kliknij)")</f>
        <v>(kliknij lub Ctrl+kliknij)</v>
      </c>
      <c r="H1405" s="0" t="s">
        <v>995</v>
      </c>
    </row>
    <row r="1406" customFormat="false" ht="12.8" hidden="false" customHeight="false" outlineLevel="0" collapsed="false">
      <c r="A1406" s="1" t="s">
        <v>569</v>
      </c>
      <c r="C1406" s="3" t="s">
        <v>584</v>
      </c>
      <c r="D1406" s="4" t="s">
        <v>571</v>
      </c>
      <c r="F1406" s="6" t="s">
        <v>585</v>
      </c>
      <c r="G1406" s="7" t="str">
        <f aca="false">HYPERLINK(CONCATENATE("http://crfop.gdos.gov.pl/CRFOP/widok/viewpomnikprzyrody.jsf?fop=","PL.ZIPOP.1393.PP.1019023.2212"),"(kliknij lub Ctrl+kliknij)")</f>
        <v>(kliknij lub Ctrl+kliknij)</v>
      </c>
      <c r="H1406" s="0" t="s">
        <v>995</v>
      </c>
    </row>
    <row r="1407" customFormat="false" ht="12.8" hidden="false" customHeight="false" outlineLevel="0" collapsed="false">
      <c r="A1407" s="1" t="s">
        <v>569</v>
      </c>
      <c r="C1407" s="3" t="s">
        <v>584</v>
      </c>
      <c r="D1407" s="4" t="s">
        <v>571</v>
      </c>
      <c r="F1407" s="6" t="s">
        <v>585</v>
      </c>
      <c r="G1407" s="7" t="str">
        <f aca="false">HYPERLINK(CONCATENATE("http://crfop.gdos.gov.pl/CRFOP/widok/viewpomnikprzyrody.jsf?fop=","PL.ZIPOP.1393.PP.1019023.2213"),"(kliknij lub Ctrl+kliknij)")</f>
        <v>(kliknij lub Ctrl+kliknij)</v>
      </c>
      <c r="H1407" s="0" t="s">
        <v>995</v>
      </c>
    </row>
    <row r="1408" customFormat="false" ht="12.8" hidden="false" customHeight="false" outlineLevel="0" collapsed="false">
      <c r="A1408" s="1" t="s">
        <v>569</v>
      </c>
      <c r="C1408" s="3" t="s">
        <v>584</v>
      </c>
      <c r="D1408" s="4" t="s">
        <v>571</v>
      </c>
      <c r="F1408" s="6" t="s">
        <v>585</v>
      </c>
      <c r="G1408" s="7" t="str">
        <f aca="false">HYPERLINK(CONCATENATE("http://crfop.gdos.gov.pl/CRFOP/widok/viewpomnikprzyrody.jsf?fop=","PL.ZIPOP.1393.PP.1019023.2214"),"(kliknij lub Ctrl+kliknij)")</f>
        <v>(kliknij lub Ctrl+kliknij)</v>
      </c>
      <c r="H1408" s="0" t="s">
        <v>995</v>
      </c>
    </row>
    <row r="1409" customFormat="false" ht="12.8" hidden="false" customHeight="false" outlineLevel="0" collapsed="false">
      <c r="A1409" s="1" t="s">
        <v>569</v>
      </c>
      <c r="C1409" s="3" t="s">
        <v>584</v>
      </c>
      <c r="D1409" s="4" t="s">
        <v>571</v>
      </c>
      <c r="F1409" s="6" t="s">
        <v>585</v>
      </c>
      <c r="G1409" s="7" t="str">
        <f aca="false">HYPERLINK(CONCATENATE("http://crfop.gdos.gov.pl/CRFOP/widok/viewpomnikprzyrody.jsf?fop=","PL.ZIPOP.1393.PP.1019023.2215"),"(kliknij lub Ctrl+kliknij)")</f>
        <v>(kliknij lub Ctrl+kliknij)</v>
      </c>
      <c r="H1409" s="0" t="s">
        <v>995</v>
      </c>
    </row>
    <row r="1410" customFormat="false" ht="12.8" hidden="false" customHeight="false" outlineLevel="0" collapsed="false">
      <c r="A1410" s="1" t="s">
        <v>569</v>
      </c>
      <c r="C1410" s="3" t="s">
        <v>584</v>
      </c>
      <c r="D1410" s="4" t="s">
        <v>571</v>
      </c>
      <c r="F1410" s="6" t="s">
        <v>585</v>
      </c>
      <c r="G1410" s="7" t="str">
        <f aca="false">HYPERLINK(CONCATENATE("http://crfop.gdos.gov.pl/CRFOP/widok/viewpomnikprzyrody.jsf?fop=","PL.ZIPOP.1393.PP.1019023.2216"),"(kliknij lub Ctrl+kliknij)")</f>
        <v>(kliknij lub Ctrl+kliknij)</v>
      </c>
      <c r="H1410" s="0" t="s">
        <v>995</v>
      </c>
    </row>
    <row r="1411" customFormat="false" ht="12.8" hidden="false" customHeight="false" outlineLevel="0" collapsed="false">
      <c r="A1411" s="1" t="s">
        <v>569</v>
      </c>
      <c r="C1411" s="3" t="s">
        <v>584</v>
      </c>
      <c r="D1411" s="4" t="s">
        <v>571</v>
      </c>
      <c r="F1411" s="6" t="s">
        <v>585</v>
      </c>
      <c r="G1411" s="7" t="str">
        <f aca="false">HYPERLINK(CONCATENATE("http://crfop.gdos.gov.pl/CRFOP/widok/viewpomnikprzyrody.jsf?fop=","PL.ZIPOP.1393.PP.1019023.2217"),"(kliknij lub Ctrl+kliknij)")</f>
        <v>(kliknij lub Ctrl+kliknij)</v>
      </c>
      <c r="H1411" s="0" t="s">
        <v>995</v>
      </c>
    </row>
    <row r="1412" customFormat="false" ht="12.8" hidden="false" customHeight="false" outlineLevel="0" collapsed="false">
      <c r="A1412" s="1" t="s">
        <v>569</v>
      </c>
      <c r="C1412" s="3" t="s">
        <v>584</v>
      </c>
      <c r="D1412" s="4" t="s">
        <v>571</v>
      </c>
      <c r="F1412" s="6" t="s">
        <v>585</v>
      </c>
      <c r="G1412" s="7" t="str">
        <f aca="false">HYPERLINK(CONCATENATE("http://crfop.gdos.gov.pl/CRFOP/widok/viewpomnikprzyrody.jsf?fop=","PL.ZIPOP.1393.PP.1019023.2218"),"(kliknij lub Ctrl+kliknij)")</f>
        <v>(kliknij lub Ctrl+kliknij)</v>
      </c>
      <c r="H1412" s="0" t="s">
        <v>995</v>
      </c>
    </row>
    <row r="1413" customFormat="false" ht="12.8" hidden="false" customHeight="false" outlineLevel="0" collapsed="false">
      <c r="A1413" s="1" t="s">
        <v>569</v>
      </c>
      <c r="C1413" s="3" t="s">
        <v>584</v>
      </c>
      <c r="D1413" s="4" t="s">
        <v>571</v>
      </c>
      <c r="F1413" s="6" t="s">
        <v>585</v>
      </c>
      <c r="G1413" s="7" t="str">
        <f aca="false">HYPERLINK(CONCATENATE("http://crfop.gdos.gov.pl/CRFOP/widok/viewpomnikprzyrody.jsf?fop=","PL.ZIPOP.1393.PP.1019023.2219"),"(kliknij lub Ctrl+kliknij)")</f>
        <v>(kliknij lub Ctrl+kliknij)</v>
      </c>
      <c r="H1413" s="0" t="s">
        <v>995</v>
      </c>
    </row>
    <row r="1414" customFormat="false" ht="12.8" hidden="false" customHeight="false" outlineLevel="0" collapsed="false">
      <c r="A1414" s="1" t="s">
        <v>569</v>
      </c>
      <c r="C1414" s="3" t="s">
        <v>584</v>
      </c>
      <c r="D1414" s="4" t="s">
        <v>571</v>
      </c>
      <c r="F1414" s="6" t="s">
        <v>585</v>
      </c>
      <c r="G1414" s="7" t="str">
        <f aca="false">HYPERLINK(CONCATENATE("http://crfop.gdos.gov.pl/CRFOP/widok/viewpomnikprzyrody.jsf?fop=","PL.ZIPOP.1393.PP.1019023.2220"),"(kliknij lub Ctrl+kliknij)")</f>
        <v>(kliknij lub Ctrl+kliknij)</v>
      </c>
      <c r="H1414" s="0" t="s">
        <v>995</v>
      </c>
    </row>
    <row r="1415" customFormat="false" ht="12.8" hidden="false" customHeight="false" outlineLevel="0" collapsed="false">
      <c r="A1415" s="1" t="s">
        <v>569</v>
      </c>
      <c r="C1415" s="3" t="s">
        <v>584</v>
      </c>
      <c r="D1415" s="4" t="s">
        <v>571</v>
      </c>
      <c r="F1415" s="6" t="s">
        <v>585</v>
      </c>
      <c r="G1415" s="7" t="str">
        <f aca="false">HYPERLINK(CONCATENATE("http://crfop.gdos.gov.pl/CRFOP/widok/viewpomnikprzyrody.jsf?fop=","PL.ZIPOP.1393.PP.1019023.2221"),"(kliknij lub Ctrl+kliknij)")</f>
        <v>(kliknij lub Ctrl+kliknij)</v>
      </c>
      <c r="H1415" s="0" t="s">
        <v>995</v>
      </c>
    </row>
    <row r="1416" customFormat="false" ht="12.8" hidden="false" customHeight="false" outlineLevel="0" collapsed="false">
      <c r="A1416" s="1" t="s">
        <v>569</v>
      </c>
      <c r="C1416" s="3" t="s">
        <v>647</v>
      </c>
      <c r="D1416" s="4" t="s">
        <v>571</v>
      </c>
      <c r="F1416" s="6" t="s">
        <v>649</v>
      </c>
      <c r="G1416" s="7" t="str">
        <f aca="false">HYPERLINK(CONCATENATE("http://crfop.gdos.gov.pl/CRFOP/widok/viewpomnikprzyrody.jsf?fop=","PL.ZIPOP.1393.PP.1019023.2222"),"(kliknij lub Ctrl+kliknij)")</f>
        <v>(kliknij lub Ctrl+kliknij)</v>
      </c>
      <c r="H1416" s="0" t="s">
        <v>995</v>
      </c>
    </row>
    <row r="1417" customFormat="false" ht="12.8" hidden="false" customHeight="false" outlineLevel="0" collapsed="false">
      <c r="A1417" s="1" t="s">
        <v>569</v>
      </c>
      <c r="C1417" s="3" t="s">
        <v>996</v>
      </c>
      <c r="D1417" s="4" t="s">
        <v>571</v>
      </c>
      <c r="F1417" s="6" t="s">
        <v>997</v>
      </c>
      <c r="G1417" s="7" t="str">
        <f aca="false">HYPERLINK(CONCATENATE("http://crfop.gdos.gov.pl/CRFOP/widok/viewpomnikprzyrody.jsf?fop=","PL.ZIPOP.1393.PP.1019032.2223"),"(kliknij lub Ctrl+kliknij)")</f>
        <v>(kliknij lub Ctrl+kliknij)</v>
      </c>
      <c r="H1417" s="0" t="s">
        <v>998</v>
      </c>
    </row>
    <row r="1418" customFormat="false" ht="12.8" hidden="false" customHeight="false" outlineLevel="0" collapsed="false">
      <c r="A1418" s="1" t="s">
        <v>569</v>
      </c>
      <c r="C1418" s="3" t="s">
        <v>996</v>
      </c>
      <c r="D1418" s="4" t="s">
        <v>571</v>
      </c>
      <c r="F1418" s="6" t="s">
        <v>997</v>
      </c>
      <c r="G1418" s="7" t="str">
        <f aca="false">HYPERLINK(CONCATENATE("http://crfop.gdos.gov.pl/CRFOP/widok/viewpomnikprzyrody.jsf?fop=","PL.ZIPOP.1393.PP.1019032.2224"),"(kliknij lub Ctrl+kliknij)")</f>
        <v>(kliknij lub Ctrl+kliknij)</v>
      </c>
      <c r="H1418" s="0" t="s">
        <v>998</v>
      </c>
    </row>
    <row r="1419" customFormat="false" ht="12.8" hidden="false" customHeight="false" outlineLevel="0" collapsed="false">
      <c r="A1419" s="1" t="s">
        <v>569</v>
      </c>
      <c r="C1419" s="3" t="s">
        <v>999</v>
      </c>
      <c r="D1419" s="4" t="s">
        <v>571</v>
      </c>
      <c r="F1419" s="6" t="s">
        <v>1000</v>
      </c>
      <c r="G1419" s="7" t="str">
        <f aca="false">HYPERLINK(CONCATENATE("http://crfop.gdos.gov.pl/CRFOP/widok/viewpomnikprzyrody.jsf?fop=","PL.ZIPOP.1393.PP.1019032.2227"),"(kliknij lub Ctrl+kliknij)")</f>
        <v>(kliknij lub Ctrl+kliknij)</v>
      </c>
      <c r="H1419" s="0" t="s">
        <v>998</v>
      </c>
    </row>
    <row r="1420" customFormat="false" ht="12.8" hidden="false" customHeight="false" outlineLevel="0" collapsed="false">
      <c r="A1420" s="1" t="s">
        <v>569</v>
      </c>
      <c r="C1420" s="3" t="s">
        <v>999</v>
      </c>
      <c r="D1420" s="4" t="s">
        <v>571</v>
      </c>
      <c r="F1420" s="6" t="s">
        <v>1000</v>
      </c>
      <c r="G1420" s="7" t="str">
        <f aca="false">HYPERLINK(CONCATENATE("http://crfop.gdos.gov.pl/CRFOP/widok/viewpomnikprzyrody.jsf?fop=","PL.ZIPOP.1393.PP.1019032.2228"),"(kliknij lub Ctrl+kliknij)")</f>
        <v>(kliknij lub Ctrl+kliknij)</v>
      </c>
      <c r="H1420" s="0" t="s">
        <v>998</v>
      </c>
    </row>
    <row r="1421" customFormat="false" ht="12.8" hidden="false" customHeight="false" outlineLevel="0" collapsed="false">
      <c r="A1421" s="1" t="s">
        <v>569</v>
      </c>
      <c r="C1421" s="3" t="s">
        <v>999</v>
      </c>
      <c r="D1421" s="4" t="s">
        <v>571</v>
      </c>
      <c r="F1421" s="6" t="s">
        <v>1000</v>
      </c>
      <c r="G1421" s="7" t="str">
        <f aca="false">HYPERLINK(CONCATENATE("http://crfop.gdos.gov.pl/CRFOP/widok/viewpomnikprzyrody.jsf?fop=","PL.ZIPOP.1393.PP.1019032.2229"),"(kliknij lub Ctrl+kliknij)")</f>
        <v>(kliknij lub Ctrl+kliknij)</v>
      </c>
      <c r="H1421" s="0" t="s">
        <v>998</v>
      </c>
    </row>
    <row r="1422" customFormat="false" ht="12.8" hidden="false" customHeight="false" outlineLevel="0" collapsed="false">
      <c r="A1422" s="1" t="s">
        <v>569</v>
      </c>
      <c r="C1422" s="3" t="s">
        <v>999</v>
      </c>
      <c r="D1422" s="4" t="s">
        <v>571</v>
      </c>
      <c r="F1422" s="6" t="s">
        <v>1000</v>
      </c>
      <c r="G1422" s="7" t="str">
        <f aca="false">HYPERLINK(CONCATENATE("http://crfop.gdos.gov.pl/CRFOP/widok/viewpomnikprzyrody.jsf?fop=","PL.ZIPOP.1393.PP.1019032.2230"),"(kliknij lub Ctrl+kliknij)")</f>
        <v>(kliknij lub Ctrl+kliknij)</v>
      </c>
      <c r="H1422" s="0" t="s">
        <v>998</v>
      </c>
    </row>
    <row r="1423" customFormat="false" ht="12.8" hidden="false" customHeight="false" outlineLevel="0" collapsed="false">
      <c r="A1423" s="1" t="s">
        <v>569</v>
      </c>
      <c r="C1423" s="3" t="s">
        <v>999</v>
      </c>
      <c r="D1423" s="4" t="s">
        <v>571</v>
      </c>
      <c r="F1423" s="6" t="s">
        <v>1000</v>
      </c>
      <c r="G1423" s="7" t="str">
        <f aca="false">HYPERLINK(CONCATENATE("http://crfop.gdos.gov.pl/CRFOP/widok/viewpomnikprzyrody.jsf?fop=","PL.ZIPOP.1393.PP.1019032.2231"),"(kliknij lub Ctrl+kliknij)")</f>
        <v>(kliknij lub Ctrl+kliknij)</v>
      </c>
      <c r="H1423" s="0" t="s">
        <v>998</v>
      </c>
    </row>
    <row r="1424" customFormat="false" ht="12.8" hidden="false" customHeight="false" outlineLevel="0" collapsed="false">
      <c r="A1424" s="1" t="s">
        <v>569</v>
      </c>
      <c r="C1424" s="3" t="s">
        <v>999</v>
      </c>
      <c r="D1424" s="4" t="s">
        <v>571</v>
      </c>
      <c r="F1424" s="6" t="s">
        <v>1000</v>
      </c>
      <c r="G1424" s="7" t="str">
        <f aca="false">HYPERLINK(CONCATENATE("http://crfop.gdos.gov.pl/CRFOP/widok/viewpomnikprzyrody.jsf?fop=","PL.ZIPOP.1393.PP.1019032.2232"),"(kliknij lub Ctrl+kliknij)")</f>
        <v>(kliknij lub Ctrl+kliknij)</v>
      </c>
      <c r="H1424" s="0" t="s">
        <v>998</v>
      </c>
    </row>
    <row r="1425" customFormat="false" ht="12.8" hidden="false" customHeight="false" outlineLevel="0" collapsed="false">
      <c r="A1425" s="1" t="s">
        <v>569</v>
      </c>
      <c r="C1425" s="3" t="s">
        <v>999</v>
      </c>
      <c r="D1425" s="4" t="s">
        <v>571</v>
      </c>
      <c r="F1425" s="6" t="s">
        <v>1000</v>
      </c>
      <c r="G1425" s="7" t="str">
        <f aca="false">HYPERLINK(CONCATENATE("http://crfop.gdos.gov.pl/CRFOP/widok/viewpomnikprzyrody.jsf?fop=","PL.ZIPOP.1393.PP.1019032.2233"),"(kliknij lub Ctrl+kliknij)")</f>
        <v>(kliknij lub Ctrl+kliknij)</v>
      </c>
      <c r="H1425" s="0" t="s">
        <v>998</v>
      </c>
    </row>
    <row r="1426" customFormat="false" ht="12.8" hidden="false" customHeight="false" outlineLevel="0" collapsed="false">
      <c r="A1426" s="1" t="s">
        <v>569</v>
      </c>
      <c r="C1426" s="3" t="s">
        <v>1001</v>
      </c>
      <c r="D1426" s="4" t="s">
        <v>571</v>
      </c>
      <c r="F1426" s="6" t="s">
        <v>1002</v>
      </c>
      <c r="G1426" s="7" t="str">
        <f aca="false">HYPERLINK(CONCATENATE("http://crfop.gdos.gov.pl/CRFOP/widok/viewpomnikprzyrody.jsf?fop=","PL.ZIPOP.1393.PP.1019032.2234"),"(kliknij lub Ctrl+kliknij)")</f>
        <v>(kliknij lub Ctrl+kliknij)</v>
      </c>
      <c r="H1426" s="0" t="s">
        <v>998</v>
      </c>
    </row>
    <row r="1427" customFormat="false" ht="12.8" hidden="false" customHeight="false" outlineLevel="0" collapsed="false">
      <c r="A1427" s="1" t="s">
        <v>569</v>
      </c>
      <c r="C1427" s="3" t="s">
        <v>999</v>
      </c>
      <c r="D1427" s="4" t="s">
        <v>571</v>
      </c>
      <c r="F1427" s="6" t="s">
        <v>1000</v>
      </c>
      <c r="G1427" s="7" t="str">
        <f aca="false">HYPERLINK(CONCATENATE("http://crfop.gdos.gov.pl/CRFOP/widok/viewpomnikprzyrody.jsf?fop=","PL.ZIPOP.1393.PP.1019032.2235"),"(kliknij lub Ctrl+kliknij)")</f>
        <v>(kliknij lub Ctrl+kliknij)</v>
      </c>
      <c r="H1427" s="0" t="s">
        <v>998</v>
      </c>
    </row>
    <row r="1428" customFormat="false" ht="12.8" hidden="false" customHeight="false" outlineLevel="0" collapsed="false">
      <c r="A1428" s="1" t="s">
        <v>569</v>
      </c>
      <c r="C1428" s="3" t="s">
        <v>584</v>
      </c>
      <c r="D1428" s="4" t="s">
        <v>571</v>
      </c>
      <c r="F1428" s="6" t="s">
        <v>585</v>
      </c>
      <c r="G1428" s="7" t="str">
        <f aca="false">HYPERLINK(CONCATENATE("http://crfop.gdos.gov.pl/CRFOP/widok/viewpomnikprzyrody.jsf?fop=","PL.ZIPOP.1393.PP.1019032.2236"),"(kliknij lub Ctrl+kliknij)")</f>
        <v>(kliknij lub Ctrl+kliknij)</v>
      </c>
      <c r="H1428" s="0" t="s">
        <v>998</v>
      </c>
    </row>
    <row r="1429" customFormat="false" ht="12.8" hidden="false" customHeight="false" outlineLevel="0" collapsed="false">
      <c r="A1429" s="1" t="s">
        <v>569</v>
      </c>
      <c r="C1429" s="3" t="s">
        <v>584</v>
      </c>
      <c r="D1429" s="4" t="s">
        <v>571</v>
      </c>
      <c r="F1429" s="6" t="s">
        <v>585</v>
      </c>
      <c r="G1429" s="7" t="str">
        <f aca="false">HYPERLINK(CONCATENATE("http://crfop.gdos.gov.pl/CRFOP/widok/viewpomnikprzyrody.jsf?fop=","PL.ZIPOP.1393.PP.1019032.2237"),"(kliknij lub Ctrl+kliknij)")</f>
        <v>(kliknij lub Ctrl+kliknij)</v>
      </c>
      <c r="H1429" s="0" t="s">
        <v>998</v>
      </c>
    </row>
    <row r="1430" customFormat="false" ht="12.8" hidden="false" customHeight="false" outlineLevel="0" collapsed="false">
      <c r="A1430" s="1" t="s">
        <v>569</v>
      </c>
      <c r="C1430" s="3" t="s">
        <v>999</v>
      </c>
      <c r="D1430" s="4" t="s">
        <v>571</v>
      </c>
      <c r="F1430" s="6" t="s">
        <v>1000</v>
      </c>
      <c r="G1430" s="7" t="str">
        <f aca="false">HYPERLINK(CONCATENATE("http://crfop.gdos.gov.pl/CRFOP/widok/viewpomnikprzyrody.jsf?fop=","PL.ZIPOP.1393.PP.1019032.2242"),"(kliknij lub Ctrl+kliknij)")</f>
        <v>(kliknij lub Ctrl+kliknij)</v>
      </c>
      <c r="H1430" s="0" t="s">
        <v>998</v>
      </c>
    </row>
    <row r="1431" customFormat="false" ht="12.8" hidden="false" customHeight="false" outlineLevel="0" collapsed="false">
      <c r="A1431" s="1" t="s">
        <v>569</v>
      </c>
      <c r="C1431" s="3" t="s">
        <v>999</v>
      </c>
      <c r="D1431" s="4" t="s">
        <v>571</v>
      </c>
      <c r="F1431" s="6" t="s">
        <v>1000</v>
      </c>
      <c r="G1431" s="7" t="str">
        <f aca="false">HYPERLINK(CONCATENATE("http://crfop.gdos.gov.pl/CRFOP/widok/viewpomnikprzyrody.jsf?fop=","PL.ZIPOP.1393.PP.1019032.2245"),"(kliknij lub Ctrl+kliknij)")</f>
        <v>(kliknij lub Ctrl+kliknij)</v>
      </c>
      <c r="H1431" s="0" t="s">
        <v>998</v>
      </c>
    </row>
    <row r="1432" customFormat="false" ht="12.8" hidden="false" customHeight="false" outlineLevel="0" collapsed="false">
      <c r="A1432" s="1" t="s">
        <v>569</v>
      </c>
      <c r="C1432" s="3" t="s">
        <v>999</v>
      </c>
      <c r="D1432" s="4" t="s">
        <v>571</v>
      </c>
      <c r="F1432" s="6" t="s">
        <v>1000</v>
      </c>
      <c r="G1432" s="7" t="str">
        <f aca="false">HYPERLINK(CONCATENATE("http://crfop.gdos.gov.pl/CRFOP/widok/viewpomnikprzyrody.jsf?fop=","PL.ZIPOP.1393.PP.1019032.2246"),"(kliknij lub Ctrl+kliknij)")</f>
        <v>(kliknij lub Ctrl+kliknij)</v>
      </c>
      <c r="H1432" s="0" t="s">
        <v>998</v>
      </c>
    </row>
    <row r="1433" customFormat="false" ht="12.8" hidden="false" customHeight="false" outlineLevel="0" collapsed="false">
      <c r="A1433" s="1" t="s">
        <v>569</v>
      </c>
      <c r="C1433" s="3" t="s">
        <v>999</v>
      </c>
      <c r="D1433" s="4" t="s">
        <v>571</v>
      </c>
      <c r="F1433" s="6" t="s">
        <v>1000</v>
      </c>
      <c r="G1433" s="7" t="str">
        <f aca="false">HYPERLINK(CONCATENATE("http://crfop.gdos.gov.pl/CRFOP/widok/viewpomnikprzyrody.jsf?fop=","PL.ZIPOP.1393.PP.1019032.2247"),"(kliknij lub Ctrl+kliknij)")</f>
        <v>(kliknij lub Ctrl+kliknij)</v>
      </c>
      <c r="H1433" s="0" t="s">
        <v>998</v>
      </c>
    </row>
    <row r="1434" customFormat="false" ht="12.8" hidden="false" customHeight="false" outlineLevel="0" collapsed="false">
      <c r="A1434" s="1" t="s">
        <v>569</v>
      </c>
      <c r="C1434" s="3" t="s">
        <v>999</v>
      </c>
      <c r="D1434" s="4" t="s">
        <v>571</v>
      </c>
      <c r="F1434" s="6" t="s">
        <v>1000</v>
      </c>
      <c r="G1434" s="7" t="str">
        <f aca="false">HYPERLINK(CONCATENATE("http://crfop.gdos.gov.pl/CRFOP/widok/viewpomnikprzyrody.jsf?fop=","PL.ZIPOP.1393.PP.1019032.2248"),"(kliknij lub Ctrl+kliknij)")</f>
        <v>(kliknij lub Ctrl+kliknij)</v>
      </c>
      <c r="H1434" s="0" t="s">
        <v>998</v>
      </c>
    </row>
    <row r="1435" customFormat="false" ht="12.8" hidden="false" customHeight="false" outlineLevel="0" collapsed="false">
      <c r="A1435" s="1" t="s">
        <v>569</v>
      </c>
      <c r="C1435" s="3" t="s">
        <v>1001</v>
      </c>
      <c r="D1435" s="4" t="s">
        <v>571</v>
      </c>
      <c r="F1435" s="6" t="s">
        <v>1002</v>
      </c>
      <c r="G1435" s="7" t="str">
        <f aca="false">HYPERLINK(CONCATENATE("http://crfop.gdos.gov.pl/CRFOP/widok/viewpomnikprzyrody.jsf?fop=","PL.ZIPOP.1393.PP.1019032.2249"),"(kliknij lub Ctrl+kliknij)")</f>
        <v>(kliknij lub Ctrl+kliknij)</v>
      </c>
      <c r="H1435" s="0" t="s">
        <v>998</v>
      </c>
    </row>
    <row r="1436" customFormat="false" ht="12.8" hidden="false" customHeight="false" outlineLevel="0" collapsed="false">
      <c r="A1436" s="1" t="s">
        <v>569</v>
      </c>
      <c r="C1436" s="3" t="s">
        <v>1001</v>
      </c>
      <c r="D1436" s="4" t="s">
        <v>571</v>
      </c>
      <c r="F1436" s="6" t="s">
        <v>1002</v>
      </c>
      <c r="G1436" s="7" t="str">
        <f aca="false">HYPERLINK(CONCATENATE("http://crfop.gdos.gov.pl/CRFOP/widok/viewpomnikprzyrody.jsf?fop=","PL.ZIPOP.1393.PP.1019032.2251"),"(kliknij lub Ctrl+kliknij)")</f>
        <v>(kliknij lub Ctrl+kliknij)</v>
      </c>
      <c r="H1436" s="0" t="s">
        <v>998</v>
      </c>
    </row>
    <row r="1437" customFormat="false" ht="12.8" hidden="false" customHeight="false" outlineLevel="0" collapsed="false">
      <c r="A1437" s="1" t="s">
        <v>569</v>
      </c>
      <c r="C1437" s="3" t="s">
        <v>1001</v>
      </c>
      <c r="D1437" s="4" t="s">
        <v>571</v>
      </c>
      <c r="F1437" s="6" t="s">
        <v>1002</v>
      </c>
      <c r="G1437" s="7" t="str">
        <f aca="false">HYPERLINK(CONCATENATE("http://crfop.gdos.gov.pl/CRFOP/widok/viewpomnikprzyrody.jsf?fop=","PL.ZIPOP.1393.PP.1019032.2252"),"(kliknij lub Ctrl+kliknij)")</f>
        <v>(kliknij lub Ctrl+kliknij)</v>
      </c>
      <c r="H1437" s="0" t="s">
        <v>998</v>
      </c>
    </row>
    <row r="1438" customFormat="false" ht="12.8" hidden="false" customHeight="false" outlineLevel="0" collapsed="false">
      <c r="A1438" s="1" t="s">
        <v>569</v>
      </c>
      <c r="C1438" s="3" t="s">
        <v>999</v>
      </c>
      <c r="D1438" s="4" t="s">
        <v>571</v>
      </c>
      <c r="F1438" s="6" t="s">
        <v>1000</v>
      </c>
      <c r="G1438" s="7" t="str">
        <f aca="false">HYPERLINK(CONCATENATE("http://crfop.gdos.gov.pl/CRFOP/widok/viewpomnikprzyrody.jsf?fop=","PL.ZIPOP.1393.PP.1019032.2254"),"(kliknij lub Ctrl+kliknij)")</f>
        <v>(kliknij lub Ctrl+kliknij)</v>
      </c>
      <c r="H1438" s="0" t="s">
        <v>998</v>
      </c>
    </row>
    <row r="1439" customFormat="false" ht="12.8" hidden="false" customHeight="false" outlineLevel="0" collapsed="false">
      <c r="A1439" s="1" t="s">
        <v>569</v>
      </c>
      <c r="C1439" s="3" t="s">
        <v>999</v>
      </c>
      <c r="D1439" s="4" t="s">
        <v>571</v>
      </c>
      <c r="F1439" s="6" t="s">
        <v>1000</v>
      </c>
      <c r="G1439" s="7" t="str">
        <f aca="false">HYPERLINK(CONCATENATE("http://crfop.gdos.gov.pl/CRFOP/widok/viewpomnikprzyrody.jsf?fop=","PL.ZIPOP.1393.PP.1019032.2255"),"(kliknij lub Ctrl+kliknij)")</f>
        <v>(kliknij lub Ctrl+kliknij)</v>
      </c>
      <c r="H1439" s="0" t="s">
        <v>998</v>
      </c>
    </row>
    <row r="1440" customFormat="false" ht="12.8" hidden="false" customHeight="false" outlineLevel="0" collapsed="false">
      <c r="A1440" s="1" t="s">
        <v>569</v>
      </c>
      <c r="C1440" s="3" t="s">
        <v>584</v>
      </c>
      <c r="D1440" s="4" t="s">
        <v>571</v>
      </c>
      <c r="F1440" s="6" t="s">
        <v>585</v>
      </c>
      <c r="G1440" s="7" t="str">
        <f aca="false">HYPERLINK(CONCATENATE("http://crfop.gdos.gov.pl/CRFOP/widok/viewpomnikprzyrody.jsf?fop=","PL.ZIPOP.1393.PP.1019042.2162"),"(kliknij lub Ctrl+kliknij)")</f>
        <v>(kliknij lub Ctrl+kliknij)</v>
      </c>
      <c r="H1440" s="0" t="s">
        <v>990</v>
      </c>
    </row>
    <row r="1441" customFormat="false" ht="12.8" hidden="false" customHeight="false" outlineLevel="0" collapsed="false">
      <c r="A1441" s="1" t="s">
        <v>569</v>
      </c>
      <c r="C1441" s="3" t="s">
        <v>584</v>
      </c>
      <c r="D1441" s="4" t="s">
        <v>571</v>
      </c>
      <c r="F1441" s="6" t="s">
        <v>585</v>
      </c>
      <c r="G1441" s="7" t="str">
        <f aca="false">HYPERLINK(CONCATENATE("http://crfop.gdos.gov.pl/CRFOP/widok/viewpomnikprzyrody.jsf?fop=","PL.ZIPOP.1393.PP.1019042.2163"),"(kliknij lub Ctrl+kliknij)")</f>
        <v>(kliknij lub Ctrl+kliknij)</v>
      </c>
      <c r="H1441" s="0" t="s">
        <v>990</v>
      </c>
    </row>
    <row r="1442" customFormat="false" ht="12.8" hidden="false" customHeight="false" outlineLevel="0" collapsed="false">
      <c r="A1442" s="1" t="s">
        <v>569</v>
      </c>
      <c r="C1442" s="3" t="s">
        <v>584</v>
      </c>
      <c r="D1442" s="4" t="s">
        <v>571</v>
      </c>
      <c r="F1442" s="6" t="s">
        <v>585</v>
      </c>
      <c r="G1442" s="7" t="str">
        <f aca="false">HYPERLINK(CONCATENATE("http://crfop.gdos.gov.pl/CRFOP/widok/viewpomnikprzyrody.jsf?fop=","PL.ZIPOP.1393.PP.1019042.2164"),"(kliknij lub Ctrl+kliknij)")</f>
        <v>(kliknij lub Ctrl+kliknij)</v>
      </c>
      <c r="H1442" s="0" t="s">
        <v>990</v>
      </c>
    </row>
    <row r="1443" customFormat="false" ht="12.8" hidden="false" customHeight="false" outlineLevel="0" collapsed="false">
      <c r="A1443" s="1" t="s">
        <v>569</v>
      </c>
      <c r="C1443" s="3" t="s">
        <v>584</v>
      </c>
      <c r="D1443" s="4" t="s">
        <v>571</v>
      </c>
      <c r="F1443" s="6" t="s">
        <v>585</v>
      </c>
      <c r="G1443" s="7" t="str">
        <f aca="false">HYPERLINK(CONCATENATE("http://crfop.gdos.gov.pl/CRFOP/widok/viewpomnikprzyrody.jsf?fop=","PL.ZIPOP.1393.PP.1019042.2165"),"(kliknij lub Ctrl+kliknij)")</f>
        <v>(kliknij lub Ctrl+kliknij)</v>
      </c>
      <c r="H1443" s="0" t="s">
        <v>990</v>
      </c>
    </row>
    <row r="1444" customFormat="false" ht="12.8" hidden="false" customHeight="false" outlineLevel="0" collapsed="false">
      <c r="A1444" s="1" t="s">
        <v>569</v>
      </c>
      <c r="C1444" s="3" t="s">
        <v>584</v>
      </c>
      <c r="D1444" s="4" t="s">
        <v>571</v>
      </c>
      <c r="F1444" s="6" t="s">
        <v>585</v>
      </c>
      <c r="G1444" s="7" t="str">
        <f aca="false">HYPERLINK(CONCATENATE("http://crfop.gdos.gov.pl/CRFOP/widok/viewpomnikprzyrody.jsf?fop=","PL.ZIPOP.1393.PP.1019042.2166"),"(kliknij lub Ctrl+kliknij)")</f>
        <v>(kliknij lub Ctrl+kliknij)</v>
      </c>
      <c r="H1444" s="0" t="s">
        <v>990</v>
      </c>
    </row>
    <row r="1445" customFormat="false" ht="12.8" hidden="false" customHeight="false" outlineLevel="0" collapsed="false">
      <c r="A1445" s="1" t="s">
        <v>569</v>
      </c>
      <c r="C1445" s="3" t="s">
        <v>584</v>
      </c>
      <c r="D1445" s="4" t="s">
        <v>571</v>
      </c>
      <c r="F1445" s="6" t="s">
        <v>585</v>
      </c>
      <c r="G1445" s="7" t="str">
        <f aca="false">HYPERLINK(CONCATENATE("http://crfop.gdos.gov.pl/CRFOP/widok/viewpomnikprzyrody.jsf?fop=","PL.ZIPOP.1393.PP.1019042.2167"),"(kliknij lub Ctrl+kliknij)")</f>
        <v>(kliknij lub Ctrl+kliknij)</v>
      </c>
      <c r="H1445" s="0" t="s">
        <v>990</v>
      </c>
    </row>
    <row r="1446" customFormat="false" ht="12.8" hidden="false" customHeight="false" outlineLevel="0" collapsed="false">
      <c r="A1446" s="1" t="s">
        <v>569</v>
      </c>
      <c r="C1446" s="3" t="s">
        <v>584</v>
      </c>
      <c r="D1446" s="4" t="s">
        <v>571</v>
      </c>
      <c r="F1446" s="6" t="s">
        <v>585</v>
      </c>
      <c r="G1446" s="7" t="str">
        <f aca="false">HYPERLINK(CONCATENATE("http://crfop.gdos.gov.pl/CRFOP/widok/viewpomnikprzyrody.jsf?fop=","PL.ZIPOP.1393.PP.1019042.2168"),"(kliknij lub Ctrl+kliknij)")</f>
        <v>(kliknij lub Ctrl+kliknij)</v>
      </c>
      <c r="H1446" s="0" t="s">
        <v>990</v>
      </c>
    </row>
    <row r="1447" customFormat="false" ht="12.8" hidden="false" customHeight="false" outlineLevel="0" collapsed="false">
      <c r="A1447" s="1" t="s">
        <v>569</v>
      </c>
      <c r="C1447" s="3" t="s">
        <v>584</v>
      </c>
      <c r="D1447" s="4" t="s">
        <v>571</v>
      </c>
      <c r="F1447" s="6" t="s">
        <v>585</v>
      </c>
      <c r="G1447" s="7" t="str">
        <f aca="false">HYPERLINK(CONCATENATE("http://crfop.gdos.gov.pl/CRFOP/widok/viewpomnikprzyrody.jsf?fop=","PL.ZIPOP.1393.PP.1019042.2169"),"(kliknij lub Ctrl+kliknij)")</f>
        <v>(kliknij lub Ctrl+kliknij)</v>
      </c>
      <c r="H1447" s="0" t="s">
        <v>990</v>
      </c>
    </row>
    <row r="1448" customFormat="false" ht="12.8" hidden="false" customHeight="false" outlineLevel="0" collapsed="false">
      <c r="A1448" s="1" t="s">
        <v>569</v>
      </c>
      <c r="C1448" s="3" t="s">
        <v>584</v>
      </c>
      <c r="D1448" s="4" t="s">
        <v>571</v>
      </c>
      <c r="F1448" s="6" t="s">
        <v>585</v>
      </c>
      <c r="G1448" s="7" t="str">
        <f aca="false">HYPERLINK(CONCATENATE("http://crfop.gdos.gov.pl/CRFOP/widok/viewpomnikprzyrody.jsf?fop=","PL.ZIPOP.1393.PP.1019042.2170"),"(kliknij lub Ctrl+kliknij)")</f>
        <v>(kliknij lub Ctrl+kliknij)</v>
      </c>
      <c r="H1448" s="0" t="s">
        <v>990</v>
      </c>
    </row>
    <row r="1449" customFormat="false" ht="12.8" hidden="false" customHeight="false" outlineLevel="0" collapsed="false">
      <c r="A1449" s="1" t="s">
        <v>569</v>
      </c>
      <c r="C1449" s="3" t="s">
        <v>584</v>
      </c>
      <c r="D1449" s="4" t="s">
        <v>571</v>
      </c>
      <c r="F1449" s="6" t="s">
        <v>585</v>
      </c>
      <c r="G1449" s="7" t="str">
        <f aca="false">HYPERLINK(CONCATENATE("http://crfop.gdos.gov.pl/CRFOP/widok/viewpomnikprzyrody.jsf?fop=","PL.ZIPOP.1393.PP.1019042.2171"),"(kliknij lub Ctrl+kliknij)")</f>
        <v>(kliknij lub Ctrl+kliknij)</v>
      </c>
      <c r="H1449" s="0" t="s">
        <v>990</v>
      </c>
    </row>
    <row r="1450" customFormat="false" ht="12.8" hidden="false" customHeight="false" outlineLevel="0" collapsed="false">
      <c r="A1450" s="1" t="s">
        <v>569</v>
      </c>
      <c r="C1450" s="3" t="s">
        <v>584</v>
      </c>
      <c r="D1450" s="4" t="s">
        <v>571</v>
      </c>
      <c r="F1450" s="6" t="s">
        <v>585</v>
      </c>
      <c r="G1450" s="7" t="str">
        <f aca="false">HYPERLINK(CONCATENATE("http://crfop.gdos.gov.pl/CRFOP/widok/viewpomnikprzyrody.jsf?fop=","PL.ZIPOP.1393.PP.1019042.2172"),"(kliknij lub Ctrl+kliknij)")</f>
        <v>(kliknij lub Ctrl+kliknij)</v>
      </c>
      <c r="H1450" s="0" t="s">
        <v>990</v>
      </c>
    </row>
    <row r="1451" customFormat="false" ht="12.8" hidden="false" customHeight="false" outlineLevel="0" collapsed="false">
      <c r="A1451" s="1" t="s">
        <v>569</v>
      </c>
      <c r="C1451" s="3" t="s">
        <v>584</v>
      </c>
      <c r="D1451" s="4" t="s">
        <v>571</v>
      </c>
      <c r="F1451" s="6" t="s">
        <v>585</v>
      </c>
      <c r="G1451" s="7" t="str">
        <f aca="false">HYPERLINK(CONCATENATE("http://crfop.gdos.gov.pl/CRFOP/widok/viewpomnikprzyrody.jsf?fop=","PL.ZIPOP.1393.PP.1019042.2173"),"(kliknij lub Ctrl+kliknij)")</f>
        <v>(kliknij lub Ctrl+kliknij)</v>
      </c>
      <c r="H1451" s="0" t="s">
        <v>990</v>
      </c>
    </row>
    <row r="1452" customFormat="false" ht="12.8" hidden="false" customHeight="false" outlineLevel="0" collapsed="false">
      <c r="A1452" s="1" t="s">
        <v>569</v>
      </c>
      <c r="C1452" s="3" t="s">
        <v>584</v>
      </c>
      <c r="D1452" s="4" t="s">
        <v>571</v>
      </c>
      <c r="F1452" s="6" t="s">
        <v>585</v>
      </c>
      <c r="G1452" s="7" t="str">
        <f aca="false">HYPERLINK(CONCATENATE("http://crfop.gdos.gov.pl/CRFOP/widok/viewpomnikprzyrody.jsf?fop=","PL.ZIPOP.1393.PP.1019042.2175"),"(kliknij lub Ctrl+kliknij)")</f>
        <v>(kliknij lub Ctrl+kliknij)</v>
      </c>
      <c r="H1452" s="0" t="s">
        <v>990</v>
      </c>
    </row>
    <row r="1453" customFormat="false" ht="12.8" hidden="false" customHeight="false" outlineLevel="0" collapsed="false">
      <c r="A1453" s="1" t="s">
        <v>569</v>
      </c>
      <c r="C1453" s="3" t="s">
        <v>584</v>
      </c>
      <c r="D1453" s="4" t="s">
        <v>571</v>
      </c>
      <c r="F1453" s="6" t="s">
        <v>585</v>
      </c>
      <c r="G1453" s="7" t="str">
        <f aca="false">HYPERLINK(CONCATENATE("http://crfop.gdos.gov.pl/CRFOP/widok/viewpomnikprzyrody.jsf?fop=","PL.ZIPOP.1393.PP.1019042.2177"),"(kliknij lub Ctrl+kliknij)")</f>
        <v>(kliknij lub Ctrl+kliknij)</v>
      </c>
      <c r="H1453" s="0" t="s">
        <v>990</v>
      </c>
    </row>
    <row r="1454" customFormat="false" ht="12.8" hidden="false" customHeight="false" outlineLevel="0" collapsed="false">
      <c r="A1454" s="1" t="s">
        <v>569</v>
      </c>
      <c r="C1454" s="3" t="s">
        <v>584</v>
      </c>
      <c r="D1454" s="4" t="s">
        <v>571</v>
      </c>
      <c r="F1454" s="6" t="s">
        <v>585</v>
      </c>
      <c r="G1454" s="7" t="str">
        <f aca="false">HYPERLINK(CONCATENATE("http://crfop.gdos.gov.pl/CRFOP/widok/viewpomnikprzyrody.jsf?fop=","PL.ZIPOP.1393.PP.1019042.2178"),"(kliknij lub Ctrl+kliknij)")</f>
        <v>(kliknij lub Ctrl+kliknij)</v>
      </c>
      <c r="H1454" s="0" t="s">
        <v>990</v>
      </c>
    </row>
    <row r="1455" customFormat="false" ht="12.8" hidden="false" customHeight="false" outlineLevel="0" collapsed="false">
      <c r="A1455" s="1" t="s">
        <v>569</v>
      </c>
      <c r="C1455" s="3" t="s">
        <v>584</v>
      </c>
      <c r="D1455" s="4" t="s">
        <v>571</v>
      </c>
      <c r="F1455" s="6" t="s">
        <v>585</v>
      </c>
      <c r="G1455" s="7" t="str">
        <f aca="false">HYPERLINK(CONCATENATE("http://crfop.gdos.gov.pl/CRFOP/widok/viewpomnikprzyrody.jsf?fop=","PL.ZIPOP.1393.PP.1019042.2179"),"(kliknij lub Ctrl+kliknij)")</f>
        <v>(kliknij lub Ctrl+kliknij)</v>
      </c>
      <c r="H1455" s="0" t="s">
        <v>990</v>
      </c>
    </row>
    <row r="1456" customFormat="false" ht="12.8" hidden="false" customHeight="false" outlineLevel="0" collapsed="false">
      <c r="A1456" s="1" t="s">
        <v>569</v>
      </c>
      <c r="C1456" s="3" t="s">
        <v>710</v>
      </c>
      <c r="D1456" s="4" t="s">
        <v>571</v>
      </c>
      <c r="F1456" s="6" t="s">
        <v>711</v>
      </c>
      <c r="G1456" s="7" t="str">
        <f aca="false">HYPERLINK(CONCATENATE("http://crfop.gdos.gov.pl/CRFOP/widok/viewpomnikprzyrody.jsf?fop=","PL.ZIPOP.1393.PP.1020011.579"),"(kliknij lub Ctrl+kliknij)")</f>
        <v>(kliknij lub Ctrl+kliknij)</v>
      </c>
      <c r="H1456" s="0" t="s">
        <v>1003</v>
      </c>
    </row>
    <row r="1457" customFormat="false" ht="12.8" hidden="false" customHeight="false" outlineLevel="0" collapsed="false">
      <c r="A1457" s="1" t="s">
        <v>569</v>
      </c>
      <c r="C1457" s="3" t="s">
        <v>713</v>
      </c>
      <c r="D1457" s="4" t="s">
        <v>571</v>
      </c>
      <c r="F1457" s="6" t="s">
        <v>714</v>
      </c>
      <c r="G1457" s="7" t="str">
        <f aca="false">HYPERLINK(CONCATENATE("http://crfop.gdos.gov.pl/CRFOP/widok/viewpomnikprzyrody.jsf?fop=","PL.ZIPOP.1393.PP.1020011.580"),"(kliknij lub Ctrl+kliknij)")</f>
        <v>(kliknij lub Ctrl+kliknij)</v>
      </c>
      <c r="H1457" s="0" t="s">
        <v>1003</v>
      </c>
    </row>
    <row r="1458" customFormat="false" ht="12.8" hidden="false" customHeight="false" outlineLevel="0" collapsed="false">
      <c r="A1458" s="1" t="s">
        <v>569</v>
      </c>
      <c r="C1458" s="3" t="s">
        <v>707</v>
      </c>
      <c r="D1458" s="4" t="s">
        <v>571</v>
      </c>
      <c r="F1458" s="6" t="s">
        <v>708</v>
      </c>
      <c r="G1458" s="7" t="str">
        <f aca="false">HYPERLINK(CONCATENATE("http://crfop.gdos.gov.pl/CRFOP/widok/viewpomnikprzyrody.jsf?fop=","PL.ZIPOP.1393.PP.1020021.533"),"(kliknij lub Ctrl+kliknij)")</f>
        <v>(kliknij lub Ctrl+kliknij)</v>
      </c>
      <c r="H1458" s="0" t="s">
        <v>1004</v>
      </c>
    </row>
    <row r="1459" customFormat="false" ht="12.8" hidden="false" customHeight="false" outlineLevel="0" collapsed="false">
      <c r="A1459" s="1" t="s">
        <v>569</v>
      </c>
      <c r="C1459" s="3" t="s">
        <v>707</v>
      </c>
      <c r="D1459" s="4" t="s">
        <v>571</v>
      </c>
      <c r="F1459" s="6" t="s">
        <v>708</v>
      </c>
      <c r="G1459" s="7" t="str">
        <f aca="false">HYPERLINK(CONCATENATE("http://crfop.gdos.gov.pl/CRFOP/widok/viewpomnikprzyrody.jsf?fop=","PL.ZIPOP.1393.PP.1020021.534"),"(kliknij lub Ctrl+kliknij)")</f>
        <v>(kliknij lub Ctrl+kliknij)</v>
      </c>
      <c r="H1459" s="0" t="s">
        <v>1004</v>
      </c>
    </row>
    <row r="1460" customFormat="false" ht="12.8" hidden="false" customHeight="false" outlineLevel="0" collapsed="false">
      <c r="A1460" s="1" t="s">
        <v>569</v>
      </c>
      <c r="B1460" s="2" t="s">
        <v>1005</v>
      </c>
      <c r="C1460" s="3" t="s">
        <v>707</v>
      </c>
      <c r="D1460" s="4" t="s">
        <v>571</v>
      </c>
      <c r="F1460" s="6" t="s">
        <v>708</v>
      </c>
      <c r="G1460" s="7" t="str">
        <f aca="false">HYPERLINK(CONCATENATE("http://crfop.gdos.gov.pl/CRFOP/widok/viewpomnikprzyrody.jsf?fop=","PL.ZIPOP.1393.PP.1020021.535"),"(kliknij lub Ctrl+kliknij)")</f>
        <v>(kliknij lub Ctrl+kliknij)</v>
      </c>
      <c r="H1460" s="0" t="s">
        <v>1004</v>
      </c>
    </row>
    <row r="1461" customFormat="false" ht="12.8" hidden="false" customHeight="false" outlineLevel="0" collapsed="false">
      <c r="A1461" s="1" t="s">
        <v>569</v>
      </c>
      <c r="B1461" s="2" t="s">
        <v>1006</v>
      </c>
      <c r="C1461" s="3" t="s">
        <v>707</v>
      </c>
      <c r="D1461" s="4" t="s">
        <v>571</v>
      </c>
      <c r="F1461" s="6" t="s">
        <v>708</v>
      </c>
      <c r="G1461" s="7" t="str">
        <f aca="false">HYPERLINK(CONCATENATE("http://crfop.gdos.gov.pl/CRFOP/widok/viewpomnikprzyrody.jsf?fop=","PL.ZIPOP.1393.PP.1020021.536"),"(kliknij lub Ctrl+kliknij)")</f>
        <v>(kliknij lub Ctrl+kliknij)</v>
      </c>
      <c r="H1461" s="0" t="s">
        <v>1004</v>
      </c>
    </row>
    <row r="1462" customFormat="false" ht="12.8" hidden="false" customHeight="false" outlineLevel="0" collapsed="false">
      <c r="A1462" s="1" t="s">
        <v>569</v>
      </c>
      <c r="B1462" s="2" t="s">
        <v>1007</v>
      </c>
      <c r="C1462" s="3" t="s">
        <v>707</v>
      </c>
      <c r="D1462" s="4" t="s">
        <v>571</v>
      </c>
      <c r="F1462" s="6" t="s">
        <v>708</v>
      </c>
      <c r="G1462" s="7" t="str">
        <f aca="false">HYPERLINK(CONCATENATE("http://crfop.gdos.gov.pl/CRFOP/widok/viewpomnikprzyrody.jsf?fop=","PL.ZIPOP.1393.PP.1020021.537"),"(kliknij lub Ctrl+kliknij)")</f>
        <v>(kliknij lub Ctrl+kliknij)</v>
      </c>
      <c r="H1462" s="0" t="s">
        <v>1004</v>
      </c>
    </row>
    <row r="1463" customFormat="false" ht="12.8" hidden="false" customHeight="false" outlineLevel="0" collapsed="false">
      <c r="A1463" s="1" t="s">
        <v>569</v>
      </c>
      <c r="B1463" s="2" t="s">
        <v>1008</v>
      </c>
      <c r="C1463" s="3" t="s">
        <v>707</v>
      </c>
      <c r="D1463" s="4" t="s">
        <v>571</v>
      </c>
      <c r="F1463" s="6" t="s">
        <v>708</v>
      </c>
      <c r="G1463" s="7" t="str">
        <f aca="false">HYPERLINK(CONCATENATE("http://crfop.gdos.gov.pl/CRFOP/widok/viewpomnikprzyrody.jsf?fop=","PL.ZIPOP.1393.PP.1020021.540"),"(kliknij lub Ctrl+kliknij)")</f>
        <v>(kliknij lub Ctrl+kliknij)</v>
      </c>
      <c r="H1463" s="0" t="s">
        <v>1004</v>
      </c>
    </row>
    <row r="1464" customFormat="false" ht="12.8" hidden="false" customHeight="false" outlineLevel="0" collapsed="false">
      <c r="A1464" s="1" t="s">
        <v>569</v>
      </c>
      <c r="B1464" s="2" t="s">
        <v>1009</v>
      </c>
      <c r="C1464" s="3" t="s">
        <v>707</v>
      </c>
      <c r="D1464" s="4" t="s">
        <v>571</v>
      </c>
      <c r="F1464" s="6" t="s">
        <v>708</v>
      </c>
      <c r="G1464" s="7" t="str">
        <f aca="false">HYPERLINK(CONCATENATE("http://crfop.gdos.gov.pl/CRFOP/widok/viewpomnikprzyrody.jsf?fop=","PL.ZIPOP.1393.PP.1020021.541"),"(kliknij lub Ctrl+kliknij)")</f>
        <v>(kliknij lub Ctrl+kliknij)</v>
      </c>
      <c r="H1464" s="0" t="s">
        <v>1004</v>
      </c>
    </row>
    <row r="1465" customFormat="false" ht="12.8" hidden="false" customHeight="false" outlineLevel="0" collapsed="false">
      <c r="A1465" s="1" t="s">
        <v>569</v>
      </c>
      <c r="B1465" s="2" t="s">
        <v>1010</v>
      </c>
      <c r="C1465" s="3" t="s">
        <v>707</v>
      </c>
      <c r="D1465" s="4" t="s">
        <v>571</v>
      </c>
      <c r="F1465" s="6" t="s">
        <v>708</v>
      </c>
      <c r="G1465" s="7" t="str">
        <f aca="false">HYPERLINK(CONCATENATE("http://crfop.gdos.gov.pl/CRFOP/widok/viewpomnikprzyrody.jsf?fop=","PL.ZIPOP.1393.PP.1020021.542"),"(kliknij lub Ctrl+kliknij)")</f>
        <v>(kliknij lub Ctrl+kliknij)</v>
      </c>
      <c r="H1465" s="0" t="s">
        <v>1004</v>
      </c>
    </row>
    <row r="1466" customFormat="false" ht="12.8" hidden="false" customHeight="false" outlineLevel="0" collapsed="false">
      <c r="A1466" s="1" t="s">
        <v>569</v>
      </c>
      <c r="B1466" s="2" t="s">
        <v>1011</v>
      </c>
      <c r="C1466" s="3" t="s">
        <v>707</v>
      </c>
      <c r="D1466" s="4" t="s">
        <v>571</v>
      </c>
      <c r="F1466" s="6" t="s">
        <v>708</v>
      </c>
      <c r="G1466" s="7" t="str">
        <f aca="false">HYPERLINK(CONCATENATE("http://crfop.gdos.gov.pl/CRFOP/widok/viewpomnikprzyrody.jsf?fop=","PL.ZIPOP.1393.PP.1020021.544"),"(kliknij lub Ctrl+kliknij)")</f>
        <v>(kliknij lub Ctrl+kliknij)</v>
      </c>
      <c r="H1466" s="0" t="s">
        <v>1004</v>
      </c>
    </row>
    <row r="1467" customFormat="false" ht="12.8" hidden="false" customHeight="false" outlineLevel="0" collapsed="false">
      <c r="A1467" s="1" t="s">
        <v>569</v>
      </c>
      <c r="B1467" s="2" t="s">
        <v>1012</v>
      </c>
      <c r="C1467" s="3" t="s">
        <v>707</v>
      </c>
      <c r="D1467" s="4" t="s">
        <v>571</v>
      </c>
      <c r="F1467" s="6" t="s">
        <v>708</v>
      </c>
      <c r="G1467" s="7" t="str">
        <f aca="false">HYPERLINK(CONCATENATE("http://crfop.gdos.gov.pl/CRFOP/widok/viewpomnikprzyrody.jsf?fop=","PL.ZIPOP.1393.PP.1020021.545"),"(kliknij lub Ctrl+kliknij)")</f>
        <v>(kliknij lub Ctrl+kliknij)</v>
      </c>
      <c r="H1467" s="0" t="s">
        <v>1004</v>
      </c>
    </row>
    <row r="1468" customFormat="false" ht="12.8" hidden="false" customHeight="false" outlineLevel="0" collapsed="false">
      <c r="A1468" s="1" t="s">
        <v>569</v>
      </c>
      <c r="C1468" s="3" t="s">
        <v>707</v>
      </c>
      <c r="D1468" s="4" t="s">
        <v>571</v>
      </c>
      <c r="F1468" s="6" t="s">
        <v>708</v>
      </c>
      <c r="G1468" s="7" t="str">
        <f aca="false">HYPERLINK(CONCATENATE("http://crfop.gdos.gov.pl/CRFOP/widok/viewpomnikprzyrody.jsf?fop=","PL.ZIPOP.1393.PP.1020021.546"),"(kliknij lub Ctrl+kliknij)")</f>
        <v>(kliknij lub Ctrl+kliknij)</v>
      </c>
      <c r="H1468" s="0" t="s">
        <v>1004</v>
      </c>
    </row>
    <row r="1469" customFormat="false" ht="12.8" hidden="false" customHeight="false" outlineLevel="0" collapsed="false">
      <c r="A1469" s="1" t="s">
        <v>569</v>
      </c>
      <c r="B1469" s="2" t="s">
        <v>1013</v>
      </c>
      <c r="C1469" s="3" t="s">
        <v>707</v>
      </c>
      <c r="D1469" s="4" t="s">
        <v>571</v>
      </c>
      <c r="F1469" s="6" t="s">
        <v>708</v>
      </c>
      <c r="G1469" s="7" t="str">
        <f aca="false">HYPERLINK(CONCATENATE("http://crfop.gdos.gov.pl/CRFOP/widok/viewpomnikprzyrody.jsf?fop=","PL.ZIPOP.1393.PP.1020021.547"),"(kliknij lub Ctrl+kliknij)")</f>
        <v>(kliknij lub Ctrl+kliknij)</v>
      </c>
      <c r="H1469" s="0" t="s">
        <v>1004</v>
      </c>
    </row>
    <row r="1470" customFormat="false" ht="12.8" hidden="false" customHeight="false" outlineLevel="0" collapsed="false">
      <c r="A1470" s="1" t="s">
        <v>569</v>
      </c>
      <c r="B1470" s="2" t="s">
        <v>1014</v>
      </c>
      <c r="C1470" s="3" t="s">
        <v>707</v>
      </c>
      <c r="D1470" s="4" t="s">
        <v>571</v>
      </c>
      <c r="F1470" s="6" t="s">
        <v>708</v>
      </c>
      <c r="G1470" s="7" t="str">
        <f aca="false">HYPERLINK(CONCATENATE("http://crfop.gdos.gov.pl/CRFOP/widok/viewpomnikprzyrody.jsf?fop=","PL.ZIPOP.1393.PP.1020021.548"),"(kliknij lub Ctrl+kliknij)")</f>
        <v>(kliknij lub Ctrl+kliknij)</v>
      </c>
      <c r="H1470" s="0" t="s">
        <v>1004</v>
      </c>
    </row>
    <row r="1471" customFormat="false" ht="12.8" hidden="false" customHeight="false" outlineLevel="0" collapsed="false">
      <c r="A1471" s="1" t="s">
        <v>569</v>
      </c>
      <c r="B1471" s="2" t="s">
        <v>1015</v>
      </c>
      <c r="C1471" s="3" t="s">
        <v>1016</v>
      </c>
      <c r="D1471" s="4" t="s">
        <v>571</v>
      </c>
      <c r="F1471" s="6" t="s">
        <v>1017</v>
      </c>
      <c r="G1471" s="7" t="str">
        <f aca="false">HYPERLINK(CONCATENATE("http://crfop.gdos.gov.pl/CRFOP/widok/viewpomnikprzyrody.jsf?fop=","PL.ZIPOP.1393.PP.1020021.549"),"(kliknij lub Ctrl+kliknij)")</f>
        <v>(kliknij lub Ctrl+kliknij)</v>
      </c>
      <c r="H1471" s="0" t="s">
        <v>1004</v>
      </c>
    </row>
    <row r="1472" customFormat="false" ht="12.8" hidden="false" customHeight="false" outlineLevel="0" collapsed="false">
      <c r="A1472" s="1" t="s">
        <v>569</v>
      </c>
      <c r="B1472" s="2" t="s">
        <v>1018</v>
      </c>
      <c r="C1472" s="3" t="s">
        <v>1016</v>
      </c>
      <c r="D1472" s="4" t="s">
        <v>571</v>
      </c>
      <c r="F1472" s="6" t="s">
        <v>1017</v>
      </c>
      <c r="G1472" s="7" t="str">
        <f aca="false">HYPERLINK(CONCATENATE("http://crfop.gdos.gov.pl/CRFOP/widok/viewpomnikprzyrody.jsf?fop=","PL.ZIPOP.1393.PP.1020021.550"),"(kliknij lub Ctrl+kliknij)")</f>
        <v>(kliknij lub Ctrl+kliknij)</v>
      </c>
      <c r="H1472" s="0" t="s">
        <v>1004</v>
      </c>
    </row>
    <row r="1473" customFormat="false" ht="12.8" hidden="false" customHeight="false" outlineLevel="0" collapsed="false">
      <c r="A1473" s="1" t="s">
        <v>569</v>
      </c>
      <c r="B1473" s="2" t="s">
        <v>1019</v>
      </c>
      <c r="C1473" s="3" t="s">
        <v>1016</v>
      </c>
      <c r="D1473" s="4" t="s">
        <v>571</v>
      </c>
      <c r="F1473" s="6" t="s">
        <v>1017</v>
      </c>
      <c r="G1473" s="7" t="str">
        <f aca="false">HYPERLINK(CONCATENATE("http://crfop.gdos.gov.pl/CRFOP/widok/viewpomnikprzyrody.jsf?fop=","PL.ZIPOP.1393.PP.1020021.551"),"(kliknij lub Ctrl+kliknij)")</f>
        <v>(kliknij lub Ctrl+kliknij)</v>
      </c>
      <c r="H1473" s="0" t="s">
        <v>1004</v>
      </c>
    </row>
    <row r="1474" customFormat="false" ht="12.8" hidden="false" customHeight="false" outlineLevel="0" collapsed="false">
      <c r="A1474" s="1" t="s">
        <v>569</v>
      </c>
      <c r="B1474" s="2" t="s">
        <v>580</v>
      </c>
      <c r="C1474" s="3" t="s">
        <v>1016</v>
      </c>
      <c r="D1474" s="4" t="s">
        <v>571</v>
      </c>
      <c r="F1474" s="6" t="s">
        <v>1017</v>
      </c>
      <c r="G1474" s="7" t="str">
        <f aca="false">HYPERLINK(CONCATENATE("http://crfop.gdos.gov.pl/CRFOP/widok/viewpomnikprzyrody.jsf?fop=","PL.ZIPOP.1393.PP.1020021.552"),"(kliknij lub Ctrl+kliknij)")</f>
        <v>(kliknij lub Ctrl+kliknij)</v>
      </c>
      <c r="H1474" s="0" t="s">
        <v>1004</v>
      </c>
    </row>
    <row r="1475" customFormat="false" ht="12.8" hidden="false" customHeight="false" outlineLevel="0" collapsed="false">
      <c r="A1475" s="1" t="s">
        <v>569</v>
      </c>
      <c r="B1475" s="2" t="s">
        <v>1020</v>
      </c>
      <c r="C1475" s="3" t="s">
        <v>1016</v>
      </c>
      <c r="D1475" s="4" t="s">
        <v>571</v>
      </c>
      <c r="F1475" s="6" t="s">
        <v>1017</v>
      </c>
      <c r="G1475" s="7" t="str">
        <f aca="false">HYPERLINK(CONCATENATE("http://crfop.gdos.gov.pl/CRFOP/widok/viewpomnikprzyrody.jsf?fop=","PL.ZIPOP.1393.PP.1020021.554"),"(kliknij lub Ctrl+kliknij)")</f>
        <v>(kliknij lub Ctrl+kliknij)</v>
      </c>
      <c r="H1475" s="0" t="s">
        <v>1004</v>
      </c>
    </row>
    <row r="1476" customFormat="false" ht="12.8" hidden="false" customHeight="false" outlineLevel="0" collapsed="false">
      <c r="A1476" s="1" t="s">
        <v>569</v>
      </c>
      <c r="B1476" s="2" t="s">
        <v>1021</v>
      </c>
      <c r="C1476" s="3" t="s">
        <v>1016</v>
      </c>
      <c r="D1476" s="4" t="s">
        <v>571</v>
      </c>
      <c r="F1476" s="6" t="s">
        <v>1017</v>
      </c>
      <c r="G1476" s="7" t="str">
        <f aca="false">HYPERLINK(CONCATENATE("http://crfop.gdos.gov.pl/CRFOP/widok/viewpomnikprzyrody.jsf?fop=","PL.ZIPOP.1393.PP.1020021.555"),"(kliknij lub Ctrl+kliknij)")</f>
        <v>(kliknij lub Ctrl+kliknij)</v>
      </c>
      <c r="H1476" s="0" t="s">
        <v>1004</v>
      </c>
    </row>
    <row r="1477" customFormat="false" ht="12.8" hidden="false" customHeight="false" outlineLevel="0" collapsed="false">
      <c r="A1477" s="1" t="s">
        <v>569</v>
      </c>
      <c r="B1477" s="2" t="s">
        <v>1022</v>
      </c>
      <c r="C1477" s="3" t="s">
        <v>1016</v>
      </c>
      <c r="D1477" s="4" t="s">
        <v>571</v>
      </c>
      <c r="F1477" s="6" t="s">
        <v>1017</v>
      </c>
      <c r="G1477" s="7" t="str">
        <f aca="false">HYPERLINK(CONCATENATE("http://crfop.gdos.gov.pl/CRFOP/widok/viewpomnikprzyrody.jsf?fop=","PL.ZIPOP.1393.PP.1020021.556"),"(kliknij lub Ctrl+kliknij)")</f>
        <v>(kliknij lub Ctrl+kliknij)</v>
      </c>
      <c r="H1477" s="0" t="s">
        <v>1004</v>
      </c>
    </row>
    <row r="1478" customFormat="false" ht="12.8" hidden="false" customHeight="false" outlineLevel="0" collapsed="false">
      <c r="A1478" s="1" t="s">
        <v>569</v>
      </c>
      <c r="B1478" s="2" t="s">
        <v>1023</v>
      </c>
      <c r="C1478" s="3" t="s">
        <v>1016</v>
      </c>
      <c r="D1478" s="4" t="s">
        <v>571</v>
      </c>
      <c r="F1478" s="6" t="s">
        <v>1017</v>
      </c>
      <c r="G1478" s="7" t="str">
        <f aca="false">HYPERLINK(CONCATENATE("http://crfop.gdos.gov.pl/CRFOP/widok/viewpomnikprzyrody.jsf?fop=","PL.ZIPOP.1393.PP.1020021.557"),"(kliknij lub Ctrl+kliknij)")</f>
        <v>(kliknij lub Ctrl+kliknij)</v>
      </c>
      <c r="H1478" s="0" t="s">
        <v>1004</v>
      </c>
    </row>
    <row r="1479" customFormat="false" ht="12.8" hidden="false" customHeight="false" outlineLevel="0" collapsed="false">
      <c r="A1479" s="1" t="s">
        <v>569</v>
      </c>
      <c r="B1479" s="2" t="s">
        <v>1024</v>
      </c>
      <c r="C1479" s="3" t="s">
        <v>1016</v>
      </c>
      <c r="D1479" s="4" t="s">
        <v>571</v>
      </c>
      <c r="F1479" s="6" t="s">
        <v>1017</v>
      </c>
      <c r="G1479" s="7" t="str">
        <f aca="false">HYPERLINK(CONCATENATE("http://crfop.gdos.gov.pl/CRFOP/widok/viewpomnikprzyrody.jsf?fop=","PL.ZIPOP.1393.PP.1020021.558"),"(kliknij lub Ctrl+kliknij)")</f>
        <v>(kliknij lub Ctrl+kliknij)</v>
      </c>
      <c r="H1479" s="0" t="s">
        <v>1004</v>
      </c>
    </row>
    <row r="1480" customFormat="false" ht="12.8" hidden="false" customHeight="false" outlineLevel="0" collapsed="false">
      <c r="A1480" s="1" t="s">
        <v>569</v>
      </c>
      <c r="B1480" s="2" t="s">
        <v>1025</v>
      </c>
      <c r="C1480" s="3" t="s">
        <v>1016</v>
      </c>
      <c r="D1480" s="4" t="s">
        <v>571</v>
      </c>
      <c r="F1480" s="6" t="s">
        <v>1017</v>
      </c>
      <c r="G1480" s="7" t="str">
        <f aca="false">HYPERLINK(CONCATENATE("http://crfop.gdos.gov.pl/CRFOP/widok/viewpomnikprzyrody.jsf?fop=","PL.ZIPOP.1393.PP.1020021.559"),"(kliknij lub Ctrl+kliknij)")</f>
        <v>(kliknij lub Ctrl+kliknij)</v>
      </c>
      <c r="H1480" s="0" t="s">
        <v>1004</v>
      </c>
    </row>
    <row r="1481" customFormat="false" ht="12.8" hidden="false" customHeight="false" outlineLevel="0" collapsed="false">
      <c r="A1481" s="1" t="s">
        <v>569</v>
      </c>
      <c r="B1481" s="2" t="s">
        <v>1026</v>
      </c>
      <c r="C1481" s="3" t="s">
        <v>1016</v>
      </c>
      <c r="D1481" s="4" t="s">
        <v>571</v>
      </c>
      <c r="F1481" s="6" t="s">
        <v>1017</v>
      </c>
      <c r="G1481" s="7" t="str">
        <f aca="false">HYPERLINK(CONCATENATE("http://crfop.gdos.gov.pl/CRFOP/widok/viewpomnikprzyrody.jsf?fop=","PL.ZIPOP.1393.PP.1020021.560"),"(kliknij lub Ctrl+kliknij)")</f>
        <v>(kliknij lub Ctrl+kliknij)</v>
      </c>
      <c r="H1481" s="0" t="s">
        <v>1004</v>
      </c>
    </row>
    <row r="1482" customFormat="false" ht="12.8" hidden="false" customHeight="false" outlineLevel="0" collapsed="false">
      <c r="A1482" s="1" t="s">
        <v>569</v>
      </c>
      <c r="B1482" s="2" t="s">
        <v>1027</v>
      </c>
      <c r="C1482" s="3" t="s">
        <v>1016</v>
      </c>
      <c r="D1482" s="4" t="s">
        <v>571</v>
      </c>
      <c r="F1482" s="6" t="s">
        <v>1017</v>
      </c>
      <c r="G1482" s="7" t="str">
        <f aca="false">HYPERLINK(CONCATENATE("http://crfop.gdos.gov.pl/CRFOP/widok/viewpomnikprzyrody.jsf?fop=","PL.ZIPOP.1393.PP.1020021.561"),"(kliknij lub Ctrl+kliknij)")</f>
        <v>(kliknij lub Ctrl+kliknij)</v>
      </c>
      <c r="H1482" s="0" t="s">
        <v>1004</v>
      </c>
    </row>
    <row r="1483" customFormat="false" ht="12.8" hidden="false" customHeight="false" outlineLevel="0" collapsed="false">
      <c r="A1483" s="1" t="s">
        <v>569</v>
      </c>
      <c r="C1483" s="3" t="s">
        <v>707</v>
      </c>
      <c r="D1483" s="4" t="s">
        <v>571</v>
      </c>
      <c r="F1483" s="6" t="s">
        <v>708</v>
      </c>
      <c r="G1483" s="7" t="str">
        <f aca="false">HYPERLINK(CONCATENATE("http://crfop.gdos.gov.pl/CRFOP/widok/viewpomnikprzyrody.jsf?fop=","PL.ZIPOP.1393.PP.1020043.403"),"(kliknij lub Ctrl+kliknij)")</f>
        <v>(kliknij lub Ctrl+kliknij)</v>
      </c>
      <c r="H1483" s="0" t="s">
        <v>1028</v>
      </c>
    </row>
    <row r="1484" customFormat="false" ht="12.8" hidden="false" customHeight="false" outlineLevel="0" collapsed="false">
      <c r="A1484" s="1" t="s">
        <v>569</v>
      </c>
      <c r="C1484" s="3" t="s">
        <v>707</v>
      </c>
      <c r="D1484" s="4" t="s">
        <v>571</v>
      </c>
      <c r="F1484" s="6" t="s">
        <v>708</v>
      </c>
      <c r="G1484" s="7" t="str">
        <f aca="false">HYPERLINK(CONCATENATE("http://crfop.gdos.gov.pl/CRFOP/widok/viewpomnikprzyrody.jsf?fop=","PL.ZIPOP.1393.PP.1020043.404"),"(kliknij lub Ctrl+kliknij)")</f>
        <v>(kliknij lub Ctrl+kliknij)</v>
      </c>
      <c r="H1484" s="0" t="s">
        <v>1028</v>
      </c>
    </row>
    <row r="1485" customFormat="false" ht="12.8" hidden="false" customHeight="false" outlineLevel="0" collapsed="false">
      <c r="A1485" s="1" t="s">
        <v>569</v>
      </c>
      <c r="C1485" s="3" t="s">
        <v>707</v>
      </c>
      <c r="D1485" s="4" t="s">
        <v>571</v>
      </c>
      <c r="F1485" s="6" t="s">
        <v>708</v>
      </c>
      <c r="G1485" s="7" t="str">
        <f aca="false">HYPERLINK(CONCATENATE("http://crfop.gdos.gov.pl/CRFOP/widok/viewpomnikprzyrody.jsf?fop=","PL.ZIPOP.1393.PP.1020043.405"),"(kliknij lub Ctrl+kliknij)")</f>
        <v>(kliknij lub Ctrl+kliknij)</v>
      </c>
      <c r="H1485" s="0" t="s">
        <v>1028</v>
      </c>
    </row>
    <row r="1486" customFormat="false" ht="12.8" hidden="false" customHeight="false" outlineLevel="0" collapsed="false">
      <c r="A1486" s="1" t="s">
        <v>569</v>
      </c>
      <c r="C1486" s="3" t="s">
        <v>707</v>
      </c>
      <c r="D1486" s="4" t="s">
        <v>571</v>
      </c>
      <c r="F1486" s="6" t="s">
        <v>708</v>
      </c>
      <c r="G1486" s="7" t="str">
        <f aca="false">HYPERLINK(CONCATENATE("http://crfop.gdos.gov.pl/CRFOP/widok/viewpomnikprzyrody.jsf?fop=","PL.ZIPOP.1393.PP.1020043.406"),"(kliknij lub Ctrl+kliknij)")</f>
        <v>(kliknij lub Ctrl+kliknij)</v>
      </c>
      <c r="H1486" s="0" t="s">
        <v>1028</v>
      </c>
    </row>
    <row r="1487" customFormat="false" ht="12.8" hidden="false" customHeight="false" outlineLevel="0" collapsed="false">
      <c r="A1487" s="1" t="s">
        <v>569</v>
      </c>
      <c r="C1487" s="3" t="s">
        <v>707</v>
      </c>
      <c r="D1487" s="4" t="s">
        <v>571</v>
      </c>
      <c r="F1487" s="6" t="s">
        <v>708</v>
      </c>
      <c r="G1487" s="7" t="str">
        <f aca="false">HYPERLINK(CONCATENATE("http://crfop.gdos.gov.pl/CRFOP/widok/viewpomnikprzyrody.jsf?fop=","PL.ZIPOP.1393.PP.1020043.407"),"(kliknij lub Ctrl+kliknij)")</f>
        <v>(kliknij lub Ctrl+kliknij)</v>
      </c>
      <c r="H1487" s="0" t="s">
        <v>1028</v>
      </c>
    </row>
    <row r="1488" customFormat="false" ht="12.8" hidden="false" customHeight="false" outlineLevel="0" collapsed="false">
      <c r="A1488" s="1" t="s">
        <v>569</v>
      </c>
      <c r="C1488" s="3" t="s">
        <v>707</v>
      </c>
      <c r="D1488" s="4" t="s">
        <v>571</v>
      </c>
      <c r="F1488" s="6" t="s">
        <v>708</v>
      </c>
      <c r="G1488" s="7" t="str">
        <f aca="false">HYPERLINK(CONCATENATE("http://crfop.gdos.gov.pl/CRFOP/widok/viewpomnikprzyrody.jsf?fop=","PL.ZIPOP.1393.PP.1020043.408"),"(kliknij lub Ctrl+kliknij)")</f>
        <v>(kliknij lub Ctrl+kliknij)</v>
      </c>
      <c r="H1488" s="0" t="s">
        <v>1028</v>
      </c>
    </row>
    <row r="1489" customFormat="false" ht="12.8" hidden="false" customHeight="false" outlineLevel="0" collapsed="false">
      <c r="A1489" s="1" t="s">
        <v>569</v>
      </c>
      <c r="C1489" s="3" t="s">
        <v>707</v>
      </c>
      <c r="D1489" s="4" t="s">
        <v>571</v>
      </c>
      <c r="F1489" s="6" t="s">
        <v>708</v>
      </c>
      <c r="G1489" s="7" t="str">
        <f aca="false">HYPERLINK(CONCATENATE("http://crfop.gdos.gov.pl/CRFOP/widok/viewpomnikprzyrody.jsf?fop=","PL.ZIPOP.1393.PP.1020043.409"),"(kliknij lub Ctrl+kliknij)")</f>
        <v>(kliknij lub Ctrl+kliknij)</v>
      </c>
      <c r="H1489" s="0" t="s">
        <v>1028</v>
      </c>
    </row>
    <row r="1490" customFormat="false" ht="12.8" hidden="false" customHeight="false" outlineLevel="0" collapsed="false">
      <c r="A1490" s="1" t="s">
        <v>569</v>
      </c>
      <c r="C1490" s="3" t="s">
        <v>707</v>
      </c>
      <c r="D1490" s="4" t="s">
        <v>571</v>
      </c>
      <c r="F1490" s="6" t="s">
        <v>708</v>
      </c>
      <c r="G1490" s="7" t="str">
        <f aca="false">HYPERLINK(CONCATENATE("http://crfop.gdos.gov.pl/CRFOP/widok/viewpomnikprzyrody.jsf?fop=","PL.ZIPOP.1393.PP.1020043.410"),"(kliknij lub Ctrl+kliknij)")</f>
        <v>(kliknij lub Ctrl+kliknij)</v>
      </c>
      <c r="H1490" s="0" t="s">
        <v>1028</v>
      </c>
    </row>
    <row r="1491" customFormat="false" ht="12.8" hidden="false" customHeight="false" outlineLevel="0" collapsed="false">
      <c r="A1491" s="1" t="s">
        <v>569</v>
      </c>
      <c r="C1491" s="3" t="s">
        <v>707</v>
      </c>
      <c r="D1491" s="4" t="s">
        <v>571</v>
      </c>
      <c r="F1491" s="6" t="s">
        <v>708</v>
      </c>
      <c r="G1491" s="7" t="str">
        <f aca="false">HYPERLINK(CONCATENATE("http://crfop.gdos.gov.pl/CRFOP/widok/viewpomnikprzyrody.jsf?fop=","PL.ZIPOP.1393.PP.1020043.411"),"(kliknij lub Ctrl+kliknij)")</f>
        <v>(kliknij lub Ctrl+kliknij)</v>
      </c>
      <c r="H1491" s="0" t="s">
        <v>1028</v>
      </c>
    </row>
    <row r="1492" customFormat="false" ht="12.8" hidden="false" customHeight="false" outlineLevel="0" collapsed="false">
      <c r="A1492" s="1" t="s">
        <v>569</v>
      </c>
      <c r="C1492" s="3" t="s">
        <v>707</v>
      </c>
      <c r="D1492" s="4" t="s">
        <v>571</v>
      </c>
      <c r="F1492" s="6" t="s">
        <v>708</v>
      </c>
      <c r="G1492" s="7" t="str">
        <f aca="false">HYPERLINK(CONCATENATE("http://crfop.gdos.gov.pl/CRFOP/widok/viewpomnikprzyrody.jsf?fop=","PL.ZIPOP.1393.PP.1020043.412"),"(kliknij lub Ctrl+kliknij)")</f>
        <v>(kliknij lub Ctrl+kliknij)</v>
      </c>
      <c r="H1492" s="0" t="s">
        <v>1028</v>
      </c>
    </row>
    <row r="1493" customFormat="false" ht="12.8" hidden="false" customHeight="false" outlineLevel="0" collapsed="false">
      <c r="A1493" s="1" t="s">
        <v>569</v>
      </c>
      <c r="C1493" s="3" t="s">
        <v>707</v>
      </c>
      <c r="D1493" s="4" t="s">
        <v>571</v>
      </c>
      <c r="F1493" s="6" t="s">
        <v>708</v>
      </c>
      <c r="G1493" s="7" t="str">
        <f aca="false">HYPERLINK(CONCATENATE("http://crfop.gdos.gov.pl/CRFOP/widok/viewpomnikprzyrody.jsf?fop=","PL.ZIPOP.1393.PP.1020043.413"),"(kliknij lub Ctrl+kliknij)")</f>
        <v>(kliknij lub Ctrl+kliknij)</v>
      </c>
      <c r="H1493" s="0" t="s">
        <v>1028</v>
      </c>
    </row>
    <row r="1494" customFormat="false" ht="12.8" hidden="false" customHeight="false" outlineLevel="0" collapsed="false">
      <c r="A1494" s="1" t="s">
        <v>569</v>
      </c>
      <c r="C1494" s="3" t="s">
        <v>707</v>
      </c>
      <c r="D1494" s="4" t="s">
        <v>571</v>
      </c>
      <c r="F1494" s="6" t="s">
        <v>708</v>
      </c>
      <c r="G1494" s="7" t="str">
        <f aca="false">HYPERLINK(CONCATENATE("http://crfop.gdos.gov.pl/CRFOP/widok/viewpomnikprzyrody.jsf?fop=","PL.ZIPOP.1393.PP.1020043.414"),"(kliknij lub Ctrl+kliknij)")</f>
        <v>(kliknij lub Ctrl+kliknij)</v>
      </c>
      <c r="H1494" s="0" t="s">
        <v>1028</v>
      </c>
    </row>
    <row r="1495" customFormat="false" ht="12.8" hidden="false" customHeight="false" outlineLevel="0" collapsed="false">
      <c r="A1495" s="1" t="s">
        <v>569</v>
      </c>
      <c r="C1495" s="3" t="s">
        <v>707</v>
      </c>
      <c r="D1495" s="4" t="s">
        <v>571</v>
      </c>
      <c r="F1495" s="6" t="s">
        <v>708</v>
      </c>
      <c r="G1495" s="7" t="str">
        <f aca="false">HYPERLINK(CONCATENATE("http://crfop.gdos.gov.pl/CRFOP/widok/viewpomnikprzyrody.jsf?fop=","PL.ZIPOP.1393.PP.1020043.415"),"(kliknij lub Ctrl+kliknij)")</f>
        <v>(kliknij lub Ctrl+kliknij)</v>
      </c>
      <c r="H1495" s="0" t="s">
        <v>1028</v>
      </c>
    </row>
    <row r="1496" customFormat="false" ht="12.8" hidden="false" customHeight="false" outlineLevel="0" collapsed="false">
      <c r="A1496" s="1" t="s">
        <v>569</v>
      </c>
      <c r="C1496" s="3" t="s">
        <v>707</v>
      </c>
      <c r="D1496" s="4" t="s">
        <v>571</v>
      </c>
      <c r="F1496" s="6" t="s">
        <v>708</v>
      </c>
      <c r="G1496" s="7" t="str">
        <f aca="false">HYPERLINK(CONCATENATE("http://crfop.gdos.gov.pl/CRFOP/widok/viewpomnikprzyrody.jsf?fop=","PL.ZIPOP.1393.PP.1020043.416"),"(kliknij lub Ctrl+kliknij)")</f>
        <v>(kliknij lub Ctrl+kliknij)</v>
      </c>
      <c r="H1496" s="0" t="s">
        <v>1028</v>
      </c>
    </row>
    <row r="1497" customFormat="false" ht="12.8" hidden="false" customHeight="false" outlineLevel="0" collapsed="false">
      <c r="A1497" s="1" t="s">
        <v>569</v>
      </c>
      <c r="C1497" s="3" t="s">
        <v>707</v>
      </c>
      <c r="D1497" s="4" t="s">
        <v>571</v>
      </c>
      <c r="F1497" s="6" t="s">
        <v>708</v>
      </c>
      <c r="G1497" s="7" t="str">
        <f aca="false">HYPERLINK(CONCATENATE("http://crfop.gdos.gov.pl/CRFOP/widok/viewpomnikprzyrody.jsf?fop=","PL.ZIPOP.1393.PP.1020043.417"),"(kliknij lub Ctrl+kliknij)")</f>
        <v>(kliknij lub Ctrl+kliknij)</v>
      </c>
      <c r="H1497" s="0" t="s">
        <v>1028</v>
      </c>
    </row>
    <row r="1498" customFormat="false" ht="12.8" hidden="false" customHeight="false" outlineLevel="0" collapsed="false">
      <c r="A1498" s="1" t="s">
        <v>569</v>
      </c>
      <c r="C1498" s="3" t="s">
        <v>710</v>
      </c>
      <c r="D1498" s="4" t="s">
        <v>571</v>
      </c>
      <c r="F1498" s="6" t="s">
        <v>711</v>
      </c>
      <c r="G1498" s="7" t="str">
        <f aca="false">HYPERLINK(CONCATENATE("http://crfop.gdos.gov.pl/CRFOP/widok/viewpomnikprzyrody.jsf?fop=","PL.ZIPOP.1393.PP.1020043.418"),"(kliknij lub Ctrl+kliknij)")</f>
        <v>(kliknij lub Ctrl+kliknij)</v>
      </c>
      <c r="H1498" s="0" t="s">
        <v>1028</v>
      </c>
    </row>
    <row r="1499" customFormat="false" ht="12.8" hidden="false" customHeight="false" outlineLevel="0" collapsed="false">
      <c r="A1499" s="1" t="s">
        <v>569</v>
      </c>
      <c r="C1499" s="3" t="s">
        <v>710</v>
      </c>
      <c r="D1499" s="4" t="s">
        <v>571</v>
      </c>
      <c r="F1499" s="6" t="s">
        <v>711</v>
      </c>
      <c r="G1499" s="7" t="str">
        <f aca="false">HYPERLINK(CONCATENATE("http://crfop.gdos.gov.pl/CRFOP/widok/viewpomnikprzyrody.jsf?fop=","PL.ZIPOP.1393.PP.1020043.419"),"(kliknij lub Ctrl+kliknij)")</f>
        <v>(kliknij lub Ctrl+kliknij)</v>
      </c>
      <c r="H1499" s="0" t="s">
        <v>1028</v>
      </c>
    </row>
    <row r="1500" customFormat="false" ht="12.8" hidden="false" customHeight="false" outlineLevel="0" collapsed="false">
      <c r="A1500" s="1" t="s">
        <v>569</v>
      </c>
      <c r="C1500" s="3" t="s">
        <v>710</v>
      </c>
      <c r="D1500" s="4" t="s">
        <v>571</v>
      </c>
      <c r="F1500" s="6" t="s">
        <v>711</v>
      </c>
      <c r="G1500" s="7" t="str">
        <f aca="false">HYPERLINK(CONCATENATE("http://crfop.gdos.gov.pl/CRFOP/widok/viewpomnikprzyrody.jsf?fop=","PL.ZIPOP.1393.PP.1020043.420"),"(kliknij lub Ctrl+kliknij)")</f>
        <v>(kliknij lub Ctrl+kliknij)</v>
      </c>
      <c r="H1500" s="0" t="s">
        <v>1028</v>
      </c>
    </row>
    <row r="1501" customFormat="false" ht="12.8" hidden="false" customHeight="false" outlineLevel="0" collapsed="false">
      <c r="A1501" s="1" t="s">
        <v>569</v>
      </c>
      <c r="C1501" s="3" t="s">
        <v>710</v>
      </c>
      <c r="D1501" s="4" t="s">
        <v>571</v>
      </c>
      <c r="F1501" s="6" t="s">
        <v>711</v>
      </c>
      <c r="G1501" s="7" t="str">
        <f aca="false">HYPERLINK(CONCATENATE("http://crfop.gdos.gov.pl/CRFOP/widok/viewpomnikprzyrody.jsf?fop=","PL.ZIPOP.1393.PP.1020043.421"),"(kliknij lub Ctrl+kliknij)")</f>
        <v>(kliknij lub Ctrl+kliknij)</v>
      </c>
      <c r="H1501" s="0" t="s">
        <v>1028</v>
      </c>
    </row>
    <row r="1502" customFormat="false" ht="12.8" hidden="false" customHeight="false" outlineLevel="0" collapsed="false">
      <c r="A1502" s="1" t="s">
        <v>569</v>
      </c>
      <c r="C1502" s="3" t="s">
        <v>710</v>
      </c>
      <c r="D1502" s="4" t="s">
        <v>571</v>
      </c>
      <c r="F1502" s="6" t="s">
        <v>711</v>
      </c>
      <c r="G1502" s="7" t="str">
        <f aca="false">HYPERLINK(CONCATENATE("http://crfop.gdos.gov.pl/CRFOP/widok/viewpomnikprzyrody.jsf?fop=","PL.ZIPOP.1393.PP.1020043.425"),"(kliknij lub Ctrl+kliknij)")</f>
        <v>(kliknij lub Ctrl+kliknij)</v>
      </c>
      <c r="H1502" s="0" t="s">
        <v>1028</v>
      </c>
    </row>
    <row r="1503" customFormat="false" ht="12.8" hidden="false" customHeight="false" outlineLevel="0" collapsed="false">
      <c r="A1503" s="1" t="s">
        <v>569</v>
      </c>
      <c r="C1503" s="3" t="s">
        <v>710</v>
      </c>
      <c r="D1503" s="4" t="s">
        <v>571</v>
      </c>
      <c r="F1503" s="6" t="s">
        <v>711</v>
      </c>
      <c r="G1503" s="7" t="str">
        <f aca="false">HYPERLINK(CONCATENATE("http://crfop.gdos.gov.pl/CRFOP/widok/viewpomnikprzyrody.jsf?fop=","PL.ZIPOP.1393.PP.1020043.426"),"(kliknij lub Ctrl+kliknij)")</f>
        <v>(kliknij lub Ctrl+kliknij)</v>
      </c>
      <c r="H1503" s="0" t="s">
        <v>1028</v>
      </c>
    </row>
    <row r="1504" customFormat="false" ht="12.8" hidden="false" customHeight="false" outlineLevel="0" collapsed="false">
      <c r="A1504" s="1" t="s">
        <v>569</v>
      </c>
      <c r="C1504" s="3" t="s">
        <v>710</v>
      </c>
      <c r="D1504" s="4" t="s">
        <v>571</v>
      </c>
      <c r="F1504" s="6" t="s">
        <v>711</v>
      </c>
      <c r="G1504" s="7" t="str">
        <f aca="false">HYPERLINK(CONCATENATE("http://crfop.gdos.gov.pl/CRFOP/widok/viewpomnikprzyrody.jsf?fop=","PL.ZIPOP.1393.PP.1020043.427"),"(kliknij lub Ctrl+kliknij)")</f>
        <v>(kliknij lub Ctrl+kliknij)</v>
      </c>
      <c r="H1504" s="0" t="s">
        <v>1028</v>
      </c>
    </row>
    <row r="1505" customFormat="false" ht="12.8" hidden="false" customHeight="false" outlineLevel="0" collapsed="false">
      <c r="A1505" s="1" t="s">
        <v>569</v>
      </c>
      <c r="C1505" s="3" t="s">
        <v>710</v>
      </c>
      <c r="D1505" s="4" t="s">
        <v>571</v>
      </c>
      <c r="F1505" s="6" t="s">
        <v>711</v>
      </c>
      <c r="G1505" s="7" t="str">
        <f aca="false">HYPERLINK(CONCATENATE("http://crfop.gdos.gov.pl/CRFOP/widok/viewpomnikprzyrody.jsf?fop=","PL.ZIPOP.1393.PP.1020043.428"),"(kliknij lub Ctrl+kliknij)")</f>
        <v>(kliknij lub Ctrl+kliknij)</v>
      </c>
      <c r="H1505" s="0" t="s">
        <v>1028</v>
      </c>
    </row>
    <row r="1506" customFormat="false" ht="12.8" hidden="false" customHeight="false" outlineLevel="0" collapsed="false">
      <c r="A1506" s="1" t="s">
        <v>569</v>
      </c>
      <c r="C1506" s="3" t="s">
        <v>710</v>
      </c>
      <c r="D1506" s="4" t="s">
        <v>571</v>
      </c>
      <c r="F1506" s="6" t="s">
        <v>711</v>
      </c>
      <c r="G1506" s="7" t="str">
        <f aca="false">HYPERLINK(CONCATENATE("http://crfop.gdos.gov.pl/CRFOP/widok/viewpomnikprzyrody.jsf?fop=","PL.ZIPOP.1393.PP.1020043.429"),"(kliknij lub Ctrl+kliknij)")</f>
        <v>(kliknij lub Ctrl+kliknij)</v>
      </c>
      <c r="H1506" s="0" t="s">
        <v>1028</v>
      </c>
    </row>
    <row r="1507" customFormat="false" ht="12.8" hidden="false" customHeight="false" outlineLevel="0" collapsed="false">
      <c r="A1507" s="1" t="s">
        <v>569</v>
      </c>
      <c r="C1507" s="3" t="s">
        <v>710</v>
      </c>
      <c r="D1507" s="4" t="s">
        <v>571</v>
      </c>
      <c r="F1507" s="6" t="s">
        <v>711</v>
      </c>
      <c r="G1507" s="7" t="str">
        <f aca="false">HYPERLINK(CONCATENATE("http://crfop.gdos.gov.pl/CRFOP/widok/viewpomnikprzyrody.jsf?fop=","PL.ZIPOP.1393.PP.1020043.433"),"(kliknij lub Ctrl+kliknij)")</f>
        <v>(kliknij lub Ctrl+kliknij)</v>
      </c>
      <c r="H1507" s="0" t="s">
        <v>1028</v>
      </c>
    </row>
    <row r="1508" customFormat="false" ht="12.8" hidden="false" customHeight="false" outlineLevel="0" collapsed="false">
      <c r="A1508" s="1" t="s">
        <v>569</v>
      </c>
      <c r="C1508" s="3" t="s">
        <v>1029</v>
      </c>
      <c r="D1508" s="4" t="s">
        <v>571</v>
      </c>
      <c r="F1508" s="6" t="s">
        <v>1030</v>
      </c>
      <c r="G1508" s="7" t="str">
        <f aca="false">HYPERLINK(CONCATENATE("http://crfop.gdos.gov.pl/CRFOP/widok/viewpomnikprzyrody.jsf?fop=","PL.ZIPOP.1393.PP.1020052.562"),"(kliknij lub Ctrl+kliknij)")</f>
        <v>(kliknij lub Ctrl+kliknij)</v>
      </c>
      <c r="H1508" s="0" t="s">
        <v>1003</v>
      </c>
    </row>
    <row r="1509" customFormat="false" ht="12.8" hidden="false" customHeight="false" outlineLevel="0" collapsed="false">
      <c r="A1509" s="1" t="s">
        <v>569</v>
      </c>
      <c r="C1509" s="3" t="s">
        <v>1031</v>
      </c>
      <c r="D1509" s="4" t="s">
        <v>571</v>
      </c>
      <c r="F1509" s="6" t="s">
        <v>1032</v>
      </c>
      <c r="G1509" s="7" t="str">
        <f aca="false">HYPERLINK(CONCATENATE("http://crfop.gdos.gov.pl/CRFOP/widok/viewpomnikprzyrody.jsf?fop=","PL.ZIPOP.1393.PP.1020052.563"),"(kliknij lub Ctrl+kliknij)")</f>
        <v>(kliknij lub Ctrl+kliknij)</v>
      </c>
      <c r="H1509" s="0" t="s">
        <v>1003</v>
      </c>
    </row>
    <row r="1510" customFormat="false" ht="12.8" hidden="false" customHeight="false" outlineLevel="0" collapsed="false">
      <c r="A1510" s="1" t="s">
        <v>569</v>
      </c>
      <c r="C1510" s="3" t="s">
        <v>1031</v>
      </c>
      <c r="D1510" s="4" t="s">
        <v>571</v>
      </c>
      <c r="F1510" s="6" t="s">
        <v>1032</v>
      </c>
      <c r="G1510" s="7" t="str">
        <f aca="false">HYPERLINK(CONCATENATE("http://crfop.gdos.gov.pl/CRFOP/widok/viewpomnikprzyrody.jsf?fop=","PL.ZIPOP.1393.PP.1020052.564"),"(kliknij lub Ctrl+kliknij)")</f>
        <v>(kliknij lub Ctrl+kliknij)</v>
      </c>
      <c r="H1510" s="0" t="s">
        <v>1003</v>
      </c>
    </row>
    <row r="1511" customFormat="false" ht="12.8" hidden="false" customHeight="false" outlineLevel="0" collapsed="false">
      <c r="A1511" s="1" t="s">
        <v>569</v>
      </c>
      <c r="C1511" s="3" t="s">
        <v>1031</v>
      </c>
      <c r="D1511" s="4" t="s">
        <v>571</v>
      </c>
      <c r="F1511" s="6" t="s">
        <v>1032</v>
      </c>
      <c r="G1511" s="7" t="str">
        <f aca="false">HYPERLINK(CONCATENATE("http://crfop.gdos.gov.pl/CRFOP/widok/viewpomnikprzyrody.jsf?fop=","PL.ZIPOP.1393.PP.1020052.565"),"(kliknij lub Ctrl+kliknij)")</f>
        <v>(kliknij lub Ctrl+kliknij)</v>
      </c>
      <c r="H1511" s="0" t="s">
        <v>1003</v>
      </c>
    </row>
    <row r="1512" customFormat="false" ht="12.8" hidden="false" customHeight="false" outlineLevel="0" collapsed="false">
      <c r="A1512" s="1" t="s">
        <v>569</v>
      </c>
      <c r="C1512" s="3" t="s">
        <v>713</v>
      </c>
      <c r="D1512" s="4" t="s">
        <v>571</v>
      </c>
      <c r="F1512" s="6" t="s">
        <v>714</v>
      </c>
      <c r="G1512" s="7" t="str">
        <f aca="false">HYPERLINK(CONCATENATE("http://crfop.gdos.gov.pl/CRFOP/widok/viewpomnikprzyrody.jsf?fop=","PL.ZIPOP.1393.PP.1020052.566"),"(kliknij lub Ctrl+kliknij)")</f>
        <v>(kliknij lub Ctrl+kliknij)</v>
      </c>
      <c r="H1512" s="0" t="s">
        <v>1003</v>
      </c>
    </row>
    <row r="1513" customFormat="false" ht="12.8" hidden="false" customHeight="false" outlineLevel="0" collapsed="false">
      <c r="A1513" s="1" t="s">
        <v>569</v>
      </c>
      <c r="C1513" s="3" t="s">
        <v>713</v>
      </c>
      <c r="D1513" s="4" t="s">
        <v>571</v>
      </c>
      <c r="F1513" s="6" t="s">
        <v>714</v>
      </c>
      <c r="G1513" s="7" t="str">
        <f aca="false">HYPERLINK(CONCATENATE("http://crfop.gdos.gov.pl/CRFOP/widok/viewpomnikprzyrody.jsf?fop=","PL.ZIPOP.1393.PP.1020052.567"),"(kliknij lub Ctrl+kliknij)")</f>
        <v>(kliknij lub Ctrl+kliknij)</v>
      </c>
      <c r="H1513" s="0" t="s">
        <v>1003</v>
      </c>
    </row>
    <row r="1514" customFormat="false" ht="12.8" hidden="false" customHeight="false" outlineLevel="0" collapsed="false">
      <c r="A1514" s="1" t="s">
        <v>569</v>
      </c>
      <c r="C1514" s="3" t="s">
        <v>1031</v>
      </c>
      <c r="D1514" s="4" t="s">
        <v>571</v>
      </c>
      <c r="F1514" s="6" t="s">
        <v>1033</v>
      </c>
      <c r="G1514" s="7" t="str">
        <f aca="false">HYPERLINK(CONCATENATE("http://crfop.gdos.gov.pl/CRFOP/widok/viewpomnikprzyrody.jsf?fop=","PL.ZIPOP.1393.PP.1020052.568"),"(kliknij lub Ctrl+kliknij)")</f>
        <v>(kliknij lub Ctrl+kliknij)</v>
      </c>
      <c r="H1514" s="0" t="s">
        <v>1003</v>
      </c>
    </row>
    <row r="1515" customFormat="false" ht="12.8" hidden="false" customHeight="false" outlineLevel="0" collapsed="false">
      <c r="A1515" s="1" t="s">
        <v>569</v>
      </c>
      <c r="C1515" s="3" t="s">
        <v>713</v>
      </c>
      <c r="D1515" s="4" t="s">
        <v>571</v>
      </c>
      <c r="F1515" s="6" t="s">
        <v>714</v>
      </c>
      <c r="G1515" s="7" t="str">
        <f aca="false">HYPERLINK(CONCATENATE("http://crfop.gdos.gov.pl/CRFOP/widok/viewpomnikprzyrody.jsf?fop=","PL.ZIPOP.1393.PP.1020052.569"),"(kliknij lub Ctrl+kliknij)")</f>
        <v>(kliknij lub Ctrl+kliknij)</v>
      </c>
      <c r="H1515" s="0" t="s">
        <v>1003</v>
      </c>
    </row>
    <row r="1516" customFormat="false" ht="12.8" hidden="false" customHeight="false" outlineLevel="0" collapsed="false">
      <c r="A1516" s="1" t="s">
        <v>569</v>
      </c>
      <c r="C1516" s="3" t="s">
        <v>713</v>
      </c>
      <c r="D1516" s="4" t="s">
        <v>571</v>
      </c>
      <c r="F1516" s="6" t="s">
        <v>714</v>
      </c>
      <c r="G1516" s="7" t="str">
        <f aca="false">HYPERLINK(CONCATENATE("http://crfop.gdos.gov.pl/CRFOP/widok/viewpomnikprzyrody.jsf?fop=","PL.ZIPOP.1393.PP.1020052.570"),"(kliknij lub Ctrl+kliknij)")</f>
        <v>(kliknij lub Ctrl+kliknij)</v>
      </c>
      <c r="H1516" s="0" t="s">
        <v>1003</v>
      </c>
    </row>
    <row r="1517" customFormat="false" ht="12.8" hidden="false" customHeight="false" outlineLevel="0" collapsed="false">
      <c r="A1517" s="1" t="s">
        <v>569</v>
      </c>
      <c r="C1517" s="3" t="s">
        <v>713</v>
      </c>
      <c r="D1517" s="4" t="s">
        <v>571</v>
      </c>
      <c r="F1517" s="6" t="s">
        <v>714</v>
      </c>
      <c r="G1517" s="7" t="str">
        <f aca="false">HYPERLINK(CONCATENATE("http://crfop.gdos.gov.pl/CRFOP/widok/viewpomnikprzyrody.jsf?fop=","PL.ZIPOP.1393.PP.1020052.571"),"(kliknij lub Ctrl+kliknij)")</f>
        <v>(kliknij lub Ctrl+kliknij)</v>
      </c>
      <c r="H1517" s="0" t="s">
        <v>1003</v>
      </c>
    </row>
    <row r="1518" customFormat="false" ht="12.8" hidden="false" customHeight="false" outlineLevel="0" collapsed="false">
      <c r="A1518" s="1" t="s">
        <v>569</v>
      </c>
      <c r="C1518" s="3" t="s">
        <v>713</v>
      </c>
      <c r="D1518" s="4" t="s">
        <v>571</v>
      </c>
      <c r="F1518" s="6" t="s">
        <v>714</v>
      </c>
      <c r="G1518" s="7" t="str">
        <f aca="false">HYPERLINK(CONCATENATE("http://crfop.gdos.gov.pl/CRFOP/widok/viewpomnikprzyrody.jsf?fop=","PL.ZIPOP.1393.PP.1020052.572"),"(kliknij lub Ctrl+kliknij)")</f>
        <v>(kliknij lub Ctrl+kliknij)</v>
      </c>
      <c r="H1518" s="0" t="s">
        <v>1003</v>
      </c>
    </row>
    <row r="1519" customFormat="false" ht="12.8" hidden="false" customHeight="false" outlineLevel="0" collapsed="false">
      <c r="A1519" s="1" t="s">
        <v>569</v>
      </c>
      <c r="C1519" s="3" t="s">
        <v>713</v>
      </c>
      <c r="D1519" s="4" t="s">
        <v>571</v>
      </c>
      <c r="F1519" s="6" t="s">
        <v>714</v>
      </c>
      <c r="G1519" s="7" t="str">
        <f aca="false">HYPERLINK(CONCATENATE("http://crfop.gdos.gov.pl/CRFOP/widok/viewpomnikprzyrody.jsf?fop=","PL.ZIPOP.1393.PP.1020052.573"),"(kliknij lub Ctrl+kliknij)")</f>
        <v>(kliknij lub Ctrl+kliknij)</v>
      </c>
      <c r="H1519" s="0" t="s">
        <v>1003</v>
      </c>
    </row>
    <row r="1520" customFormat="false" ht="12.8" hidden="false" customHeight="false" outlineLevel="0" collapsed="false">
      <c r="A1520" s="1" t="s">
        <v>569</v>
      </c>
      <c r="C1520" s="3" t="s">
        <v>713</v>
      </c>
      <c r="D1520" s="4" t="s">
        <v>571</v>
      </c>
      <c r="F1520" s="6" t="s">
        <v>714</v>
      </c>
      <c r="G1520" s="7" t="str">
        <f aca="false">HYPERLINK(CONCATENATE("http://crfop.gdos.gov.pl/CRFOP/widok/viewpomnikprzyrody.jsf?fop=","PL.ZIPOP.1393.PP.1020052.574"),"(kliknij lub Ctrl+kliknij)")</f>
        <v>(kliknij lub Ctrl+kliknij)</v>
      </c>
      <c r="H1520" s="0" t="s">
        <v>1003</v>
      </c>
    </row>
    <row r="1521" customFormat="false" ht="12.8" hidden="false" customHeight="false" outlineLevel="0" collapsed="false">
      <c r="A1521" s="1" t="s">
        <v>569</v>
      </c>
      <c r="C1521" s="3" t="s">
        <v>713</v>
      </c>
      <c r="D1521" s="4" t="s">
        <v>571</v>
      </c>
      <c r="F1521" s="6" t="s">
        <v>714</v>
      </c>
      <c r="G1521" s="7" t="str">
        <f aca="false">HYPERLINK(CONCATENATE("http://crfop.gdos.gov.pl/CRFOP/widok/viewpomnikprzyrody.jsf?fop=","PL.ZIPOP.1393.PP.1020052.575"),"(kliknij lub Ctrl+kliknij)")</f>
        <v>(kliknij lub Ctrl+kliknij)</v>
      </c>
      <c r="H1521" s="0" t="s">
        <v>1003</v>
      </c>
    </row>
    <row r="1522" customFormat="false" ht="12.8" hidden="false" customHeight="false" outlineLevel="0" collapsed="false">
      <c r="A1522" s="1" t="s">
        <v>569</v>
      </c>
      <c r="C1522" s="3" t="s">
        <v>713</v>
      </c>
      <c r="D1522" s="4" t="s">
        <v>571</v>
      </c>
      <c r="F1522" s="6" t="s">
        <v>714</v>
      </c>
      <c r="G1522" s="7" t="str">
        <f aca="false">HYPERLINK(CONCATENATE("http://crfop.gdos.gov.pl/CRFOP/widok/viewpomnikprzyrody.jsf?fop=","PL.ZIPOP.1393.PP.1020052.576"),"(kliknij lub Ctrl+kliknij)")</f>
        <v>(kliknij lub Ctrl+kliknij)</v>
      </c>
      <c r="H1522" s="0" t="s">
        <v>1003</v>
      </c>
    </row>
    <row r="1523" customFormat="false" ht="12.8" hidden="false" customHeight="false" outlineLevel="0" collapsed="false">
      <c r="A1523" s="1" t="s">
        <v>569</v>
      </c>
      <c r="C1523" s="3" t="s">
        <v>713</v>
      </c>
      <c r="D1523" s="4" t="s">
        <v>571</v>
      </c>
      <c r="F1523" s="6" t="s">
        <v>714</v>
      </c>
      <c r="G1523" s="7" t="str">
        <f aca="false">HYPERLINK(CONCATENATE("http://crfop.gdos.gov.pl/CRFOP/widok/viewpomnikprzyrody.jsf?fop=","PL.ZIPOP.1393.PP.1020052.577"),"(kliknij lub Ctrl+kliknij)")</f>
        <v>(kliknij lub Ctrl+kliknij)</v>
      </c>
      <c r="H1523" s="0" t="s">
        <v>1003</v>
      </c>
    </row>
    <row r="1524" customFormat="false" ht="12.8" hidden="false" customHeight="false" outlineLevel="0" collapsed="false">
      <c r="A1524" s="1" t="s">
        <v>569</v>
      </c>
      <c r="C1524" s="3" t="s">
        <v>713</v>
      </c>
      <c r="D1524" s="4" t="s">
        <v>571</v>
      </c>
      <c r="F1524" s="6" t="s">
        <v>714</v>
      </c>
      <c r="G1524" s="7" t="str">
        <f aca="false">HYPERLINK(CONCATENATE("http://crfop.gdos.gov.pl/CRFOP/widok/viewpomnikprzyrody.jsf?fop=","PL.ZIPOP.1393.PP.1020052.578"),"(kliknij lub Ctrl+kliknij)")</f>
        <v>(kliknij lub Ctrl+kliknij)</v>
      </c>
      <c r="H1524" s="0" t="s">
        <v>1003</v>
      </c>
    </row>
    <row r="1525" customFormat="false" ht="12.8" hidden="false" customHeight="false" outlineLevel="0" collapsed="false">
      <c r="A1525" s="1" t="s">
        <v>569</v>
      </c>
      <c r="C1525" s="3" t="s">
        <v>710</v>
      </c>
      <c r="D1525" s="4" t="s">
        <v>571</v>
      </c>
      <c r="F1525" s="6" t="s">
        <v>711</v>
      </c>
      <c r="G1525" s="7" t="str">
        <f aca="false">HYPERLINK(CONCATENATE("http://crfop.gdos.gov.pl/CRFOP/widok/viewpomnikprzyrody.jsf?fop=","PL.ZIPOP.1393.PP.1020062.492"),"(kliknij lub Ctrl+kliknij)")</f>
        <v>(kliknij lub Ctrl+kliknij)</v>
      </c>
      <c r="H1525" s="0" t="s">
        <v>1004</v>
      </c>
    </row>
    <row r="1526" customFormat="false" ht="12.8" hidden="false" customHeight="false" outlineLevel="0" collapsed="false">
      <c r="A1526" s="1" t="s">
        <v>569</v>
      </c>
      <c r="C1526" s="3" t="s">
        <v>710</v>
      </c>
      <c r="D1526" s="4" t="s">
        <v>571</v>
      </c>
      <c r="F1526" s="6" t="s">
        <v>711</v>
      </c>
      <c r="G1526" s="7" t="str">
        <f aca="false">HYPERLINK(CONCATENATE("http://crfop.gdos.gov.pl/CRFOP/widok/viewpomnikprzyrody.jsf?fop=","PL.ZIPOP.1393.PP.1020062.493"),"(kliknij lub Ctrl+kliknij)")</f>
        <v>(kliknij lub Ctrl+kliknij)</v>
      </c>
      <c r="H1526" s="0" t="s">
        <v>1004</v>
      </c>
    </row>
    <row r="1527" customFormat="false" ht="12.8" hidden="false" customHeight="false" outlineLevel="0" collapsed="false">
      <c r="A1527" s="1" t="s">
        <v>569</v>
      </c>
      <c r="C1527" s="3" t="s">
        <v>710</v>
      </c>
      <c r="D1527" s="4" t="s">
        <v>571</v>
      </c>
      <c r="F1527" s="6" t="s">
        <v>711</v>
      </c>
      <c r="G1527" s="7" t="str">
        <f aca="false">HYPERLINK(CONCATENATE("http://crfop.gdos.gov.pl/CRFOP/widok/viewpomnikprzyrody.jsf?fop=","PL.ZIPOP.1393.PP.1020062.495"),"(kliknij lub Ctrl+kliknij)")</f>
        <v>(kliknij lub Ctrl+kliknij)</v>
      </c>
      <c r="H1527" s="0" t="s">
        <v>1004</v>
      </c>
    </row>
    <row r="1528" customFormat="false" ht="12.8" hidden="false" customHeight="false" outlineLevel="0" collapsed="false">
      <c r="A1528" s="1" t="s">
        <v>569</v>
      </c>
      <c r="C1528" s="3" t="s">
        <v>710</v>
      </c>
      <c r="D1528" s="4" t="s">
        <v>571</v>
      </c>
      <c r="F1528" s="6" t="s">
        <v>711</v>
      </c>
      <c r="G1528" s="7" t="str">
        <f aca="false">HYPERLINK(CONCATENATE("http://crfop.gdos.gov.pl/CRFOP/widok/viewpomnikprzyrody.jsf?fop=","PL.ZIPOP.1393.PP.1020062.498"),"(kliknij lub Ctrl+kliknij)")</f>
        <v>(kliknij lub Ctrl+kliknij)</v>
      </c>
      <c r="H1528" s="0" t="s">
        <v>1004</v>
      </c>
    </row>
    <row r="1529" customFormat="false" ht="12.8" hidden="false" customHeight="false" outlineLevel="0" collapsed="false">
      <c r="A1529" s="1" t="s">
        <v>569</v>
      </c>
      <c r="C1529" s="3" t="s">
        <v>1034</v>
      </c>
      <c r="D1529" s="4" t="s">
        <v>571</v>
      </c>
      <c r="F1529" s="6" t="s">
        <v>708</v>
      </c>
      <c r="G1529" s="7" t="str">
        <f aca="false">HYPERLINK(CONCATENATE("http://crfop.gdos.gov.pl/CRFOP/widok/viewpomnikprzyrody.jsf?fop=","PL.ZIPOP.1393.PP.1020062.499"),"(kliknij lub Ctrl+kliknij)")</f>
        <v>(kliknij lub Ctrl+kliknij)</v>
      </c>
      <c r="H1529" s="0" t="s">
        <v>1004</v>
      </c>
    </row>
    <row r="1530" customFormat="false" ht="12.8" hidden="false" customHeight="false" outlineLevel="0" collapsed="false">
      <c r="A1530" s="1" t="s">
        <v>569</v>
      </c>
      <c r="C1530" s="3" t="s">
        <v>1034</v>
      </c>
      <c r="D1530" s="4" t="s">
        <v>571</v>
      </c>
      <c r="F1530" s="6" t="s">
        <v>708</v>
      </c>
      <c r="G1530" s="7" t="str">
        <f aca="false">HYPERLINK(CONCATENATE("http://crfop.gdos.gov.pl/CRFOP/widok/viewpomnikprzyrody.jsf?fop=","PL.ZIPOP.1393.PP.1020062.500"),"(kliknij lub Ctrl+kliknij)")</f>
        <v>(kliknij lub Ctrl+kliknij)</v>
      </c>
      <c r="H1530" s="0" t="s">
        <v>1004</v>
      </c>
    </row>
    <row r="1531" customFormat="false" ht="12.8" hidden="false" customHeight="false" outlineLevel="0" collapsed="false">
      <c r="A1531" s="1" t="s">
        <v>569</v>
      </c>
      <c r="C1531" s="3" t="s">
        <v>1034</v>
      </c>
      <c r="D1531" s="4" t="s">
        <v>571</v>
      </c>
      <c r="F1531" s="6" t="s">
        <v>708</v>
      </c>
      <c r="G1531" s="7" t="str">
        <f aca="false">HYPERLINK(CONCATENATE("http://crfop.gdos.gov.pl/CRFOP/widok/viewpomnikprzyrody.jsf?fop=","PL.ZIPOP.1393.PP.1020062.501"),"(kliknij lub Ctrl+kliknij)")</f>
        <v>(kliknij lub Ctrl+kliknij)</v>
      </c>
      <c r="H1531" s="0" t="s">
        <v>1004</v>
      </c>
    </row>
    <row r="1532" customFormat="false" ht="12.8" hidden="false" customHeight="false" outlineLevel="0" collapsed="false">
      <c r="A1532" s="1" t="s">
        <v>569</v>
      </c>
      <c r="C1532" s="3" t="s">
        <v>1034</v>
      </c>
      <c r="D1532" s="4" t="s">
        <v>571</v>
      </c>
      <c r="F1532" s="6" t="s">
        <v>708</v>
      </c>
      <c r="G1532" s="7" t="str">
        <f aca="false">HYPERLINK(CONCATENATE("http://crfop.gdos.gov.pl/CRFOP/widok/viewpomnikprzyrody.jsf?fop=","PL.ZIPOP.1393.PP.1020062.502"),"(kliknij lub Ctrl+kliknij)")</f>
        <v>(kliknij lub Ctrl+kliknij)</v>
      </c>
      <c r="H1532" s="0" t="s">
        <v>1004</v>
      </c>
    </row>
    <row r="1533" customFormat="false" ht="12.8" hidden="false" customHeight="false" outlineLevel="0" collapsed="false">
      <c r="A1533" s="1" t="s">
        <v>569</v>
      </c>
      <c r="C1533" s="3" t="s">
        <v>1034</v>
      </c>
      <c r="D1533" s="4" t="s">
        <v>571</v>
      </c>
      <c r="F1533" s="6" t="s">
        <v>708</v>
      </c>
      <c r="G1533" s="7" t="str">
        <f aca="false">HYPERLINK(CONCATENATE("http://crfop.gdos.gov.pl/CRFOP/widok/viewpomnikprzyrody.jsf?fop=","PL.ZIPOP.1393.PP.1020062.503"),"(kliknij lub Ctrl+kliknij)")</f>
        <v>(kliknij lub Ctrl+kliknij)</v>
      </c>
      <c r="H1533" s="0" t="s">
        <v>1004</v>
      </c>
    </row>
    <row r="1534" customFormat="false" ht="12.8" hidden="false" customHeight="false" outlineLevel="0" collapsed="false">
      <c r="A1534" s="1" t="s">
        <v>569</v>
      </c>
      <c r="C1534" s="3" t="s">
        <v>713</v>
      </c>
      <c r="D1534" s="4" t="s">
        <v>571</v>
      </c>
      <c r="F1534" s="6" t="s">
        <v>714</v>
      </c>
      <c r="G1534" s="7" t="str">
        <f aca="false">HYPERLINK(CONCATENATE("http://crfop.gdos.gov.pl/CRFOP/widok/viewpomnikprzyrody.jsf?fop=","PL.ZIPOP.1393.PP.1020062.504"),"(kliknij lub Ctrl+kliknij)")</f>
        <v>(kliknij lub Ctrl+kliknij)</v>
      </c>
      <c r="H1534" s="0" t="s">
        <v>1004</v>
      </c>
    </row>
    <row r="1535" customFormat="false" ht="12.8" hidden="false" customHeight="false" outlineLevel="0" collapsed="false">
      <c r="A1535" s="1" t="s">
        <v>569</v>
      </c>
      <c r="C1535" s="3" t="s">
        <v>713</v>
      </c>
      <c r="D1535" s="4" t="s">
        <v>571</v>
      </c>
      <c r="F1535" s="6" t="s">
        <v>714</v>
      </c>
      <c r="G1535" s="7" t="str">
        <f aca="false">HYPERLINK(CONCATENATE("http://crfop.gdos.gov.pl/CRFOP/widok/viewpomnikprzyrody.jsf?fop=","PL.ZIPOP.1393.PP.1020062.505"),"(kliknij lub Ctrl+kliknij)")</f>
        <v>(kliknij lub Ctrl+kliknij)</v>
      </c>
      <c r="H1535" s="0" t="s">
        <v>1004</v>
      </c>
    </row>
    <row r="1536" customFormat="false" ht="12.8" hidden="false" customHeight="false" outlineLevel="0" collapsed="false">
      <c r="A1536" s="1" t="s">
        <v>569</v>
      </c>
      <c r="C1536" s="3" t="s">
        <v>713</v>
      </c>
      <c r="D1536" s="4" t="s">
        <v>571</v>
      </c>
      <c r="F1536" s="6" t="s">
        <v>714</v>
      </c>
      <c r="G1536" s="7" t="str">
        <f aca="false">HYPERLINK(CONCATENATE("http://crfop.gdos.gov.pl/CRFOP/widok/viewpomnikprzyrody.jsf?fop=","PL.ZIPOP.1393.PP.1020062.508"),"(kliknij lub Ctrl+kliknij)")</f>
        <v>(kliknij lub Ctrl+kliknij)</v>
      </c>
      <c r="H1536" s="0" t="s">
        <v>1004</v>
      </c>
    </row>
    <row r="1537" customFormat="false" ht="12.8" hidden="false" customHeight="false" outlineLevel="0" collapsed="false">
      <c r="A1537" s="1" t="s">
        <v>569</v>
      </c>
      <c r="C1537" s="3" t="s">
        <v>713</v>
      </c>
      <c r="D1537" s="4" t="s">
        <v>571</v>
      </c>
      <c r="F1537" s="6" t="s">
        <v>714</v>
      </c>
      <c r="G1537" s="7" t="str">
        <f aca="false">HYPERLINK(CONCATENATE("http://crfop.gdos.gov.pl/CRFOP/widok/viewpomnikprzyrody.jsf?fop=","PL.ZIPOP.1393.PP.1020062.509"),"(kliknij lub Ctrl+kliknij)")</f>
        <v>(kliknij lub Ctrl+kliknij)</v>
      </c>
      <c r="H1537" s="0" t="s">
        <v>1004</v>
      </c>
    </row>
    <row r="1538" customFormat="false" ht="12.8" hidden="false" customHeight="false" outlineLevel="0" collapsed="false">
      <c r="A1538" s="1" t="s">
        <v>569</v>
      </c>
      <c r="C1538" s="3" t="s">
        <v>1034</v>
      </c>
      <c r="D1538" s="4" t="s">
        <v>571</v>
      </c>
      <c r="F1538" s="6" t="s">
        <v>708</v>
      </c>
      <c r="G1538" s="7" t="str">
        <f aca="false">HYPERLINK(CONCATENATE("http://crfop.gdos.gov.pl/CRFOP/widok/viewpomnikprzyrody.jsf?fop=","PL.ZIPOP.1393.PP.1020062.511"),"(kliknij lub Ctrl+kliknij)")</f>
        <v>(kliknij lub Ctrl+kliknij)</v>
      </c>
      <c r="H1538" s="0" t="s">
        <v>1004</v>
      </c>
    </row>
    <row r="1539" customFormat="false" ht="12.8" hidden="false" customHeight="false" outlineLevel="0" collapsed="false">
      <c r="A1539" s="1" t="s">
        <v>569</v>
      </c>
      <c r="C1539" s="3" t="s">
        <v>1034</v>
      </c>
      <c r="D1539" s="4" t="s">
        <v>571</v>
      </c>
      <c r="F1539" s="6" t="s">
        <v>708</v>
      </c>
      <c r="G1539" s="7" t="str">
        <f aca="false">HYPERLINK(CONCATENATE("http://crfop.gdos.gov.pl/CRFOP/widok/viewpomnikprzyrody.jsf?fop=","PL.ZIPOP.1393.PP.1020062.512"),"(kliknij lub Ctrl+kliknij)")</f>
        <v>(kliknij lub Ctrl+kliknij)</v>
      </c>
      <c r="H1539" s="0" t="s">
        <v>1004</v>
      </c>
    </row>
    <row r="1540" customFormat="false" ht="12.8" hidden="false" customHeight="false" outlineLevel="0" collapsed="false">
      <c r="A1540" s="1" t="s">
        <v>569</v>
      </c>
      <c r="C1540" s="3" t="s">
        <v>1034</v>
      </c>
      <c r="D1540" s="4" t="s">
        <v>571</v>
      </c>
      <c r="F1540" s="6" t="s">
        <v>708</v>
      </c>
      <c r="G1540" s="7" t="str">
        <f aca="false">HYPERLINK(CONCATENATE("http://crfop.gdos.gov.pl/CRFOP/widok/viewpomnikprzyrody.jsf?fop=","PL.ZIPOP.1393.PP.1020062.513"),"(kliknij lub Ctrl+kliknij)")</f>
        <v>(kliknij lub Ctrl+kliknij)</v>
      </c>
      <c r="H1540" s="0" t="s">
        <v>1004</v>
      </c>
    </row>
    <row r="1541" customFormat="false" ht="12.8" hidden="false" customHeight="false" outlineLevel="0" collapsed="false">
      <c r="A1541" s="1" t="s">
        <v>569</v>
      </c>
      <c r="B1541" s="2" t="s">
        <v>1035</v>
      </c>
      <c r="C1541" s="3" t="s">
        <v>582</v>
      </c>
      <c r="D1541" s="4" t="s">
        <v>571</v>
      </c>
      <c r="F1541" s="6" t="s">
        <v>774</v>
      </c>
      <c r="G1541" s="7" t="str">
        <f aca="false">HYPERLINK(CONCATENATE("http://crfop.gdos.gov.pl/CRFOP/widok/viewpomnikprzyrody.jsf?fop=","PL.ZIPOP.1393.PP.1020062.531"),"(kliknij lub Ctrl+kliknij)")</f>
        <v>(kliknij lub Ctrl+kliknij)</v>
      </c>
      <c r="H1541" s="0" t="s">
        <v>1004</v>
      </c>
    </row>
    <row r="1542" customFormat="false" ht="12.8" hidden="false" customHeight="false" outlineLevel="0" collapsed="false">
      <c r="A1542" s="1" t="s">
        <v>569</v>
      </c>
      <c r="B1542" s="2" t="s">
        <v>1036</v>
      </c>
      <c r="C1542" s="3" t="s">
        <v>582</v>
      </c>
      <c r="D1542" s="4" t="s">
        <v>571</v>
      </c>
      <c r="F1542" s="6" t="s">
        <v>774</v>
      </c>
      <c r="G1542" s="7" t="str">
        <f aca="false">HYPERLINK(CONCATENATE("http://crfop.gdos.gov.pl/CRFOP/widok/viewpomnikprzyrody.jsf?fop=","PL.ZIPOP.1393.PP.1020062.532"),"(kliknij lub Ctrl+kliknij)")</f>
        <v>(kliknij lub Ctrl+kliknij)</v>
      </c>
      <c r="H1542" s="0" t="s">
        <v>1004</v>
      </c>
    </row>
    <row r="1543" customFormat="false" ht="12.8" hidden="false" customHeight="false" outlineLevel="0" collapsed="false">
      <c r="A1543" s="1" t="s">
        <v>569</v>
      </c>
      <c r="C1543" s="3" t="s">
        <v>713</v>
      </c>
      <c r="D1543" s="4" t="s">
        <v>571</v>
      </c>
      <c r="F1543" s="6" t="s">
        <v>714</v>
      </c>
      <c r="G1543" s="7" t="str">
        <f aca="false">HYPERLINK(CONCATENATE("http://crfop.gdos.gov.pl/CRFOP/widok/viewpomnikprzyrody.jsf?fop=","PL.ZIPOP.1393.PP.1020072.581"),"(kliknij lub Ctrl+kliknij)")</f>
        <v>(kliknij lub Ctrl+kliknij)</v>
      </c>
      <c r="H1543" s="0" t="s">
        <v>1037</v>
      </c>
    </row>
    <row r="1544" customFormat="false" ht="12.8" hidden="false" customHeight="false" outlineLevel="0" collapsed="false">
      <c r="A1544" s="1" t="s">
        <v>569</v>
      </c>
      <c r="C1544" s="3" t="s">
        <v>713</v>
      </c>
      <c r="D1544" s="4" t="s">
        <v>571</v>
      </c>
      <c r="F1544" s="6" t="s">
        <v>714</v>
      </c>
      <c r="G1544" s="7" t="str">
        <f aca="false">HYPERLINK(CONCATENATE("http://crfop.gdos.gov.pl/CRFOP/widok/viewpomnikprzyrody.jsf?fop=","PL.ZIPOP.1393.PP.1020072.582"),"(kliknij lub Ctrl+kliknij)")</f>
        <v>(kliknij lub Ctrl+kliknij)</v>
      </c>
      <c r="H1544" s="0" t="s">
        <v>1037</v>
      </c>
    </row>
    <row r="1545" customFormat="false" ht="12.8" hidden="false" customHeight="false" outlineLevel="0" collapsed="false">
      <c r="A1545" s="1" t="s">
        <v>569</v>
      </c>
      <c r="C1545" s="3" t="s">
        <v>713</v>
      </c>
      <c r="D1545" s="4" t="s">
        <v>571</v>
      </c>
      <c r="F1545" s="6" t="s">
        <v>714</v>
      </c>
      <c r="G1545" s="7" t="str">
        <f aca="false">HYPERLINK(CONCATENATE("http://crfop.gdos.gov.pl/CRFOP/widok/viewpomnikprzyrody.jsf?fop=","PL.ZIPOP.1393.PP.1020072.583"),"(kliknij lub Ctrl+kliknij)")</f>
        <v>(kliknij lub Ctrl+kliknij)</v>
      </c>
      <c r="H1545" s="0" t="s">
        <v>1037</v>
      </c>
    </row>
    <row r="1546" customFormat="false" ht="12.8" hidden="false" customHeight="false" outlineLevel="0" collapsed="false">
      <c r="A1546" s="1" t="s">
        <v>569</v>
      </c>
      <c r="C1546" s="3" t="s">
        <v>710</v>
      </c>
      <c r="D1546" s="4" t="s">
        <v>571</v>
      </c>
      <c r="F1546" s="6" t="s">
        <v>711</v>
      </c>
      <c r="G1546" s="7" t="str">
        <f aca="false">HYPERLINK(CONCATENATE("http://crfop.gdos.gov.pl/CRFOP/widok/viewpomnikprzyrody.jsf?fop=","PL.ZIPOP.1393.PP.1020072.584"),"(kliknij lub Ctrl+kliknij)")</f>
        <v>(kliknij lub Ctrl+kliknij)</v>
      </c>
      <c r="H1546" s="0" t="s">
        <v>1037</v>
      </c>
    </row>
    <row r="1547" customFormat="false" ht="12.8" hidden="false" customHeight="false" outlineLevel="0" collapsed="false">
      <c r="A1547" s="1" t="s">
        <v>569</v>
      </c>
      <c r="C1547" s="3" t="s">
        <v>1034</v>
      </c>
      <c r="D1547" s="4" t="s">
        <v>571</v>
      </c>
      <c r="F1547" s="6" t="s">
        <v>708</v>
      </c>
      <c r="G1547" s="7" t="str">
        <f aca="false">HYPERLINK(CONCATENATE("http://crfop.gdos.gov.pl/CRFOP/widok/viewpomnikprzyrody.jsf?fop=","PL.ZIPOP.1393.PP.1020072.585"),"(kliknij lub Ctrl+kliknij)")</f>
        <v>(kliknij lub Ctrl+kliknij)</v>
      </c>
      <c r="H1547" s="0" t="s">
        <v>1037</v>
      </c>
    </row>
    <row r="1548" customFormat="false" ht="12.8" hidden="false" customHeight="false" outlineLevel="0" collapsed="false">
      <c r="A1548" s="1" t="s">
        <v>569</v>
      </c>
      <c r="C1548" s="3" t="s">
        <v>1034</v>
      </c>
      <c r="D1548" s="4" t="s">
        <v>571</v>
      </c>
      <c r="F1548" s="6" t="s">
        <v>708</v>
      </c>
      <c r="G1548" s="7" t="str">
        <f aca="false">HYPERLINK(CONCATENATE("http://crfop.gdos.gov.pl/CRFOP/widok/viewpomnikprzyrody.jsf?fop=","PL.ZIPOP.1393.PP.1020072.586"),"(kliknij lub Ctrl+kliknij)")</f>
        <v>(kliknij lub Ctrl+kliknij)</v>
      </c>
      <c r="H1548" s="0" t="s">
        <v>1037</v>
      </c>
    </row>
    <row r="1549" customFormat="false" ht="12.8" hidden="false" customHeight="false" outlineLevel="0" collapsed="false">
      <c r="A1549" s="1" t="s">
        <v>569</v>
      </c>
      <c r="C1549" s="3" t="s">
        <v>1034</v>
      </c>
      <c r="D1549" s="4" t="s">
        <v>571</v>
      </c>
      <c r="F1549" s="6" t="s">
        <v>708</v>
      </c>
      <c r="G1549" s="7" t="str">
        <f aca="false">HYPERLINK(CONCATENATE("http://crfop.gdos.gov.pl/CRFOP/widok/viewpomnikprzyrody.jsf?fop=","PL.ZIPOP.1393.PP.1020072.587"),"(kliknij lub Ctrl+kliknij)")</f>
        <v>(kliknij lub Ctrl+kliknij)</v>
      </c>
      <c r="H1549" s="0" t="s">
        <v>1037</v>
      </c>
    </row>
    <row r="1550" customFormat="false" ht="12.8" hidden="false" customHeight="false" outlineLevel="0" collapsed="false">
      <c r="A1550" s="1" t="s">
        <v>569</v>
      </c>
      <c r="C1550" s="3" t="s">
        <v>1034</v>
      </c>
      <c r="D1550" s="4" t="s">
        <v>571</v>
      </c>
      <c r="F1550" s="6" t="s">
        <v>708</v>
      </c>
      <c r="G1550" s="7" t="str">
        <f aca="false">HYPERLINK(CONCATENATE("http://crfop.gdos.gov.pl/CRFOP/widok/viewpomnikprzyrody.jsf?fop=","PL.ZIPOP.1393.PP.1020072.588"),"(kliknij lub Ctrl+kliknij)")</f>
        <v>(kliknij lub Ctrl+kliknij)</v>
      </c>
      <c r="H1550" s="0" t="s">
        <v>1037</v>
      </c>
    </row>
    <row r="1551" customFormat="false" ht="12.8" hidden="false" customHeight="false" outlineLevel="0" collapsed="false">
      <c r="A1551" s="1" t="s">
        <v>569</v>
      </c>
      <c r="C1551" s="3" t="s">
        <v>1034</v>
      </c>
      <c r="D1551" s="4" t="s">
        <v>571</v>
      </c>
      <c r="F1551" s="6" t="s">
        <v>708</v>
      </c>
      <c r="G1551" s="7" t="str">
        <f aca="false">HYPERLINK(CONCATENATE("http://crfop.gdos.gov.pl/CRFOP/widok/viewpomnikprzyrody.jsf?fop=","PL.ZIPOP.1393.PP.1020072.589"),"(kliknij lub Ctrl+kliknij)")</f>
        <v>(kliknij lub Ctrl+kliknij)</v>
      </c>
      <c r="H1551" s="0" t="s">
        <v>1037</v>
      </c>
    </row>
    <row r="1552" customFormat="false" ht="12.8" hidden="false" customHeight="false" outlineLevel="0" collapsed="false">
      <c r="A1552" s="1" t="s">
        <v>569</v>
      </c>
      <c r="C1552" s="3" t="s">
        <v>713</v>
      </c>
      <c r="D1552" s="4" t="s">
        <v>571</v>
      </c>
      <c r="F1552" s="6" t="s">
        <v>714</v>
      </c>
      <c r="G1552" s="7" t="str">
        <f aca="false">HYPERLINK(CONCATENATE("http://crfop.gdos.gov.pl/CRFOP/widok/viewpomnikprzyrody.jsf?fop=","PL.ZIPOP.1393.PP.1020072.590"),"(kliknij lub Ctrl+kliknij)")</f>
        <v>(kliknij lub Ctrl+kliknij)</v>
      </c>
      <c r="H1552" s="0" t="s">
        <v>1037</v>
      </c>
    </row>
    <row r="1553" customFormat="false" ht="12.8" hidden="false" customHeight="false" outlineLevel="0" collapsed="false">
      <c r="A1553" s="1" t="s">
        <v>569</v>
      </c>
      <c r="C1553" s="3" t="s">
        <v>713</v>
      </c>
      <c r="D1553" s="4" t="s">
        <v>571</v>
      </c>
      <c r="F1553" s="6" t="s">
        <v>714</v>
      </c>
      <c r="G1553" s="7" t="str">
        <f aca="false">HYPERLINK(CONCATENATE("http://crfop.gdos.gov.pl/CRFOP/widok/viewpomnikprzyrody.jsf?fop=","PL.ZIPOP.1393.PP.1020072.591"),"(kliknij lub Ctrl+kliknij)")</f>
        <v>(kliknij lub Ctrl+kliknij)</v>
      </c>
      <c r="H1553" s="0" t="s">
        <v>1037</v>
      </c>
    </row>
    <row r="1554" customFormat="false" ht="12.8" hidden="false" customHeight="false" outlineLevel="0" collapsed="false">
      <c r="A1554" s="1" t="s">
        <v>569</v>
      </c>
      <c r="C1554" s="3" t="s">
        <v>710</v>
      </c>
      <c r="D1554" s="4" t="s">
        <v>571</v>
      </c>
      <c r="F1554" s="6" t="s">
        <v>711</v>
      </c>
      <c r="G1554" s="7" t="str">
        <f aca="false">HYPERLINK(CONCATENATE("http://crfop.gdos.gov.pl/CRFOP/widok/viewpomnikprzyrody.jsf?fop=","PL.ZIPOP.1393.PP.1020083.593"),"(kliknij lub Ctrl+kliknij)")</f>
        <v>(kliknij lub Ctrl+kliknij)</v>
      </c>
      <c r="H1554" s="0" t="s">
        <v>1038</v>
      </c>
    </row>
    <row r="1555" customFormat="false" ht="12.8" hidden="false" customHeight="false" outlineLevel="0" collapsed="false">
      <c r="A1555" s="1" t="s">
        <v>569</v>
      </c>
      <c r="C1555" s="3" t="s">
        <v>710</v>
      </c>
      <c r="D1555" s="4" t="s">
        <v>571</v>
      </c>
      <c r="F1555" s="6" t="s">
        <v>711</v>
      </c>
      <c r="G1555" s="7" t="str">
        <f aca="false">HYPERLINK(CONCATENATE("http://crfop.gdos.gov.pl/CRFOP/widok/viewpomnikprzyrody.jsf?fop=","PL.ZIPOP.1393.PP.1020083.595"),"(kliknij lub Ctrl+kliknij)")</f>
        <v>(kliknij lub Ctrl+kliknij)</v>
      </c>
      <c r="H1555" s="0" t="s">
        <v>1038</v>
      </c>
    </row>
    <row r="1556" customFormat="false" ht="12.8" hidden="false" customHeight="false" outlineLevel="0" collapsed="false">
      <c r="A1556" s="1" t="s">
        <v>569</v>
      </c>
      <c r="C1556" s="3" t="s">
        <v>710</v>
      </c>
      <c r="D1556" s="4" t="s">
        <v>571</v>
      </c>
      <c r="F1556" s="6" t="s">
        <v>711</v>
      </c>
      <c r="G1556" s="7" t="str">
        <f aca="false">HYPERLINK(CONCATENATE("http://crfop.gdos.gov.pl/CRFOP/widok/viewpomnikprzyrody.jsf?fop=","PL.ZIPOP.1393.PP.1020083.597"),"(kliknij lub Ctrl+kliknij)")</f>
        <v>(kliknij lub Ctrl+kliknij)</v>
      </c>
      <c r="H1556" s="0" t="s">
        <v>1038</v>
      </c>
    </row>
    <row r="1557" customFormat="false" ht="12.8" hidden="false" customHeight="false" outlineLevel="0" collapsed="false">
      <c r="A1557" s="1" t="s">
        <v>569</v>
      </c>
      <c r="C1557" s="3" t="s">
        <v>710</v>
      </c>
      <c r="D1557" s="4" t="s">
        <v>571</v>
      </c>
      <c r="F1557" s="6" t="s">
        <v>711</v>
      </c>
      <c r="G1557" s="7" t="str">
        <f aca="false">HYPERLINK(CONCATENATE("http://crfop.gdos.gov.pl/CRFOP/widok/viewpomnikprzyrody.jsf?fop=","PL.ZIPOP.1393.PP.1020083.598"),"(kliknij lub Ctrl+kliknij)")</f>
        <v>(kliknij lub Ctrl+kliknij)</v>
      </c>
      <c r="H1557" s="0" t="s">
        <v>1038</v>
      </c>
    </row>
    <row r="1558" customFormat="false" ht="12.8" hidden="false" customHeight="false" outlineLevel="0" collapsed="false">
      <c r="A1558" s="1" t="s">
        <v>569</v>
      </c>
      <c r="C1558" s="3" t="s">
        <v>710</v>
      </c>
      <c r="D1558" s="4" t="s">
        <v>571</v>
      </c>
      <c r="F1558" s="6" t="s">
        <v>711</v>
      </c>
      <c r="G1558" s="7" t="str">
        <f aca="false">HYPERLINK(CONCATENATE("http://crfop.gdos.gov.pl/CRFOP/widok/viewpomnikprzyrody.jsf?fop=","PL.ZIPOP.1393.PP.1020083.599"),"(kliknij lub Ctrl+kliknij)")</f>
        <v>(kliknij lub Ctrl+kliknij)</v>
      </c>
      <c r="H1558" s="0" t="s">
        <v>1038</v>
      </c>
    </row>
    <row r="1559" customFormat="false" ht="12.8" hidden="false" customHeight="false" outlineLevel="0" collapsed="false">
      <c r="A1559" s="1" t="s">
        <v>569</v>
      </c>
      <c r="C1559" s="3" t="s">
        <v>710</v>
      </c>
      <c r="D1559" s="4" t="s">
        <v>571</v>
      </c>
      <c r="F1559" s="6" t="s">
        <v>711</v>
      </c>
      <c r="G1559" s="7" t="str">
        <f aca="false">HYPERLINK(CONCATENATE("http://crfop.gdos.gov.pl/CRFOP/widok/viewpomnikprzyrody.jsf?fop=","PL.ZIPOP.1393.PP.1020083.601"),"(kliknij lub Ctrl+kliknij)")</f>
        <v>(kliknij lub Ctrl+kliknij)</v>
      </c>
      <c r="H1559" s="0" t="s">
        <v>1038</v>
      </c>
    </row>
    <row r="1560" customFormat="false" ht="12.8" hidden="false" customHeight="false" outlineLevel="0" collapsed="false">
      <c r="A1560" s="1" t="s">
        <v>569</v>
      </c>
      <c r="C1560" s="3" t="s">
        <v>710</v>
      </c>
      <c r="D1560" s="4" t="s">
        <v>571</v>
      </c>
      <c r="F1560" s="6" t="s">
        <v>711</v>
      </c>
      <c r="G1560" s="7" t="str">
        <f aca="false">HYPERLINK(CONCATENATE("http://crfop.gdos.gov.pl/CRFOP/widok/viewpomnikprzyrody.jsf?fop=","PL.ZIPOP.1393.PP.1020083.603"),"(kliknij lub Ctrl+kliknij)")</f>
        <v>(kliknij lub Ctrl+kliknij)</v>
      </c>
      <c r="H1560" s="0" t="s">
        <v>1038</v>
      </c>
    </row>
    <row r="1561" customFormat="false" ht="12.8" hidden="false" customHeight="false" outlineLevel="0" collapsed="false">
      <c r="A1561" s="1" t="s">
        <v>569</v>
      </c>
      <c r="C1561" s="3" t="s">
        <v>710</v>
      </c>
      <c r="D1561" s="4" t="s">
        <v>571</v>
      </c>
      <c r="F1561" s="6" t="s">
        <v>711</v>
      </c>
      <c r="G1561" s="7" t="str">
        <f aca="false">HYPERLINK(CONCATENATE("http://crfop.gdos.gov.pl/CRFOP/widok/viewpomnikprzyrody.jsf?fop=","PL.ZIPOP.1393.PP.1020083.604"),"(kliknij lub Ctrl+kliknij)")</f>
        <v>(kliknij lub Ctrl+kliknij)</v>
      </c>
      <c r="H1561" s="0" t="s">
        <v>1038</v>
      </c>
    </row>
    <row r="1562" customFormat="false" ht="12.8" hidden="false" customHeight="false" outlineLevel="0" collapsed="false">
      <c r="A1562" s="1" t="s">
        <v>569</v>
      </c>
      <c r="C1562" s="3" t="s">
        <v>710</v>
      </c>
      <c r="D1562" s="4" t="s">
        <v>571</v>
      </c>
      <c r="F1562" s="6" t="s">
        <v>711</v>
      </c>
      <c r="G1562" s="7" t="str">
        <f aca="false">HYPERLINK(CONCATENATE("http://crfop.gdos.gov.pl/CRFOP/widok/viewpomnikprzyrody.jsf?fop=","PL.ZIPOP.1393.PP.1020083.605"),"(kliknij lub Ctrl+kliknij)")</f>
        <v>(kliknij lub Ctrl+kliknij)</v>
      </c>
      <c r="H1562" s="0" t="s">
        <v>1038</v>
      </c>
    </row>
    <row r="1563" customFormat="false" ht="12.8" hidden="false" customHeight="false" outlineLevel="0" collapsed="false">
      <c r="A1563" s="1" t="s">
        <v>569</v>
      </c>
      <c r="C1563" s="3" t="s">
        <v>710</v>
      </c>
      <c r="D1563" s="4" t="s">
        <v>571</v>
      </c>
      <c r="F1563" s="6" t="s">
        <v>711</v>
      </c>
      <c r="G1563" s="7" t="str">
        <f aca="false">HYPERLINK(CONCATENATE("http://crfop.gdos.gov.pl/CRFOP/widok/viewpomnikprzyrody.jsf?fop=","PL.ZIPOP.1393.PP.1020083.606"),"(kliknij lub Ctrl+kliknij)")</f>
        <v>(kliknij lub Ctrl+kliknij)</v>
      </c>
      <c r="H1563" s="0" t="s">
        <v>1038</v>
      </c>
    </row>
    <row r="1564" customFormat="false" ht="12.8" hidden="false" customHeight="false" outlineLevel="0" collapsed="false">
      <c r="A1564" s="1" t="s">
        <v>569</v>
      </c>
      <c r="C1564" s="3" t="s">
        <v>710</v>
      </c>
      <c r="D1564" s="4" t="s">
        <v>571</v>
      </c>
      <c r="F1564" s="6" t="s">
        <v>711</v>
      </c>
      <c r="G1564" s="7" t="str">
        <f aca="false">HYPERLINK(CONCATENATE("http://crfop.gdos.gov.pl/CRFOP/widok/viewpomnikprzyrody.jsf?fop=","PL.ZIPOP.1393.PP.1020083.607"),"(kliknij lub Ctrl+kliknij)")</f>
        <v>(kliknij lub Ctrl+kliknij)</v>
      </c>
      <c r="H1564" s="0" t="s">
        <v>1038</v>
      </c>
    </row>
    <row r="1565" customFormat="false" ht="12.8" hidden="false" customHeight="false" outlineLevel="0" collapsed="false">
      <c r="A1565" s="1" t="s">
        <v>569</v>
      </c>
      <c r="C1565" s="3" t="s">
        <v>710</v>
      </c>
      <c r="D1565" s="4" t="s">
        <v>571</v>
      </c>
      <c r="F1565" s="6" t="s">
        <v>711</v>
      </c>
      <c r="G1565" s="7" t="str">
        <f aca="false">HYPERLINK(CONCATENATE("http://crfop.gdos.gov.pl/CRFOP/widok/viewpomnikprzyrody.jsf?fop=","PL.ZIPOP.1393.PP.1020083.608"),"(kliknij lub Ctrl+kliknij)")</f>
        <v>(kliknij lub Ctrl+kliknij)</v>
      </c>
      <c r="H1565" s="0" t="s">
        <v>1038</v>
      </c>
    </row>
    <row r="1566" customFormat="false" ht="12.8" hidden="false" customHeight="false" outlineLevel="0" collapsed="false">
      <c r="A1566" s="1" t="s">
        <v>569</v>
      </c>
      <c r="C1566" s="3" t="s">
        <v>710</v>
      </c>
      <c r="D1566" s="4" t="s">
        <v>571</v>
      </c>
      <c r="F1566" s="6" t="s">
        <v>711</v>
      </c>
      <c r="G1566" s="7" t="str">
        <f aca="false">HYPERLINK(CONCATENATE("http://crfop.gdos.gov.pl/CRFOP/widok/viewpomnikprzyrody.jsf?fop=","PL.ZIPOP.1393.PP.1020083.609"),"(kliknij lub Ctrl+kliknij)")</f>
        <v>(kliknij lub Ctrl+kliknij)</v>
      </c>
      <c r="H1566" s="0" t="s">
        <v>1038</v>
      </c>
    </row>
    <row r="1567" customFormat="false" ht="12.8" hidden="false" customHeight="false" outlineLevel="0" collapsed="false">
      <c r="A1567" s="1" t="s">
        <v>569</v>
      </c>
      <c r="C1567" s="3" t="s">
        <v>710</v>
      </c>
      <c r="D1567" s="4" t="s">
        <v>571</v>
      </c>
      <c r="F1567" s="6" t="s">
        <v>711</v>
      </c>
      <c r="G1567" s="7" t="str">
        <f aca="false">HYPERLINK(CONCATENATE("http://crfop.gdos.gov.pl/CRFOP/widok/viewpomnikprzyrody.jsf?fop=","PL.ZIPOP.1393.PP.1020083.610"),"(kliknij lub Ctrl+kliknij)")</f>
        <v>(kliknij lub Ctrl+kliknij)</v>
      </c>
      <c r="H1567" s="0" t="s">
        <v>1038</v>
      </c>
    </row>
    <row r="1568" customFormat="false" ht="12.8" hidden="false" customHeight="false" outlineLevel="0" collapsed="false">
      <c r="A1568" s="1" t="s">
        <v>569</v>
      </c>
      <c r="C1568" s="3" t="s">
        <v>710</v>
      </c>
      <c r="D1568" s="4" t="s">
        <v>571</v>
      </c>
      <c r="F1568" s="6" t="s">
        <v>711</v>
      </c>
      <c r="G1568" s="7" t="str">
        <f aca="false">HYPERLINK(CONCATENATE("http://crfop.gdos.gov.pl/CRFOP/widok/viewpomnikprzyrody.jsf?fop=","PL.ZIPOP.1393.PP.1020083.611"),"(kliknij lub Ctrl+kliknij)")</f>
        <v>(kliknij lub Ctrl+kliknij)</v>
      </c>
      <c r="H1568" s="0" t="s">
        <v>1038</v>
      </c>
    </row>
    <row r="1569" customFormat="false" ht="12.8" hidden="false" customHeight="false" outlineLevel="0" collapsed="false">
      <c r="A1569" s="1" t="s">
        <v>569</v>
      </c>
      <c r="B1569" s="2" t="s">
        <v>1039</v>
      </c>
      <c r="C1569" s="3" t="s">
        <v>710</v>
      </c>
      <c r="D1569" s="4" t="s">
        <v>571</v>
      </c>
      <c r="F1569" s="6" t="s">
        <v>711</v>
      </c>
      <c r="G1569" s="7" t="str">
        <f aca="false">HYPERLINK(CONCATENATE("http://crfop.gdos.gov.pl/CRFOP/widok/viewpomnikprzyrody.jsf?fop=","PL.ZIPOP.1393.PP.1020083.612"),"(kliknij lub Ctrl+kliknij)")</f>
        <v>(kliknij lub Ctrl+kliknij)</v>
      </c>
      <c r="H1569" s="0" t="s">
        <v>1038</v>
      </c>
    </row>
    <row r="1570" customFormat="false" ht="12.8" hidden="false" customHeight="false" outlineLevel="0" collapsed="false">
      <c r="A1570" s="1" t="s">
        <v>569</v>
      </c>
      <c r="C1570" s="3" t="s">
        <v>707</v>
      </c>
      <c r="D1570" s="4" t="s">
        <v>571</v>
      </c>
      <c r="F1570" s="6" t="s">
        <v>708</v>
      </c>
      <c r="G1570" s="7" t="str">
        <f aca="false">HYPERLINK(CONCATENATE("http://crfop.gdos.gov.pl/CRFOP/widok/viewpomnikprzyrody.jsf?fop=","PL.ZIPOP.1393.PP.1020083.615"),"(kliknij lub Ctrl+kliknij)")</f>
        <v>(kliknij lub Ctrl+kliknij)</v>
      </c>
      <c r="H1570" s="0" t="s">
        <v>1038</v>
      </c>
    </row>
    <row r="1571" customFormat="false" ht="12.8" hidden="false" customHeight="false" outlineLevel="0" collapsed="false">
      <c r="A1571" s="1" t="s">
        <v>569</v>
      </c>
      <c r="C1571" s="3" t="s">
        <v>713</v>
      </c>
      <c r="D1571" s="4" t="s">
        <v>571</v>
      </c>
      <c r="F1571" s="6" t="s">
        <v>714</v>
      </c>
      <c r="G1571" s="7" t="str">
        <f aca="false">HYPERLINK(CONCATENATE("http://crfop.gdos.gov.pl/CRFOP/widok/viewpomnikprzyrody.jsf?fop=","PL.ZIPOP.1393.PP.1020083.620"),"(kliknij lub Ctrl+kliknij)")</f>
        <v>(kliknij lub Ctrl+kliknij)</v>
      </c>
      <c r="H1571" s="0" t="s">
        <v>1038</v>
      </c>
    </row>
    <row r="1572" customFormat="false" ht="12.8" hidden="false" customHeight="false" outlineLevel="0" collapsed="false">
      <c r="A1572" s="1" t="s">
        <v>569</v>
      </c>
      <c r="C1572" s="3" t="s">
        <v>713</v>
      </c>
      <c r="D1572" s="4" t="s">
        <v>571</v>
      </c>
      <c r="F1572" s="6" t="s">
        <v>714</v>
      </c>
      <c r="G1572" s="7" t="str">
        <f aca="false">HYPERLINK(CONCATENATE("http://crfop.gdos.gov.pl/CRFOP/widok/viewpomnikprzyrody.jsf?fop=","PL.ZIPOP.1393.PP.1020083.621"),"(kliknij lub Ctrl+kliknij)")</f>
        <v>(kliknij lub Ctrl+kliknij)</v>
      </c>
      <c r="H1572" s="0" t="s">
        <v>1038</v>
      </c>
    </row>
    <row r="1573" customFormat="false" ht="12.8" hidden="false" customHeight="false" outlineLevel="0" collapsed="false">
      <c r="A1573" s="1" t="s">
        <v>569</v>
      </c>
      <c r="C1573" s="3" t="s">
        <v>713</v>
      </c>
      <c r="D1573" s="4" t="s">
        <v>571</v>
      </c>
      <c r="F1573" s="6" t="s">
        <v>714</v>
      </c>
      <c r="G1573" s="7" t="str">
        <f aca="false">HYPERLINK(CONCATENATE("http://crfop.gdos.gov.pl/CRFOP/widok/viewpomnikprzyrody.jsf?fop=","PL.ZIPOP.1393.PP.1020083.622"),"(kliknij lub Ctrl+kliknij)")</f>
        <v>(kliknij lub Ctrl+kliknij)</v>
      </c>
      <c r="H1573" s="0" t="s">
        <v>1038</v>
      </c>
    </row>
    <row r="1574" customFormat="false" ht="12.8" hidden="false" customHeight="false" outlineLevel="0" collapsed="false">
      <c r="A1574" s="1" t="s">
        <v>569</v>
      </c>
      <c r="C1574" s="3" t="s">
        <v>713</v>
      </c>
      <c r="D1574" s="4" t="s">
        <v>571</v>
      </c>
      <c r="F1574" s="6" t="s">
        <v>714</v>
      </c>
      <c r="G1574" s="7" t="str">
        <f aca="false">HYPERLINK(CONCATENATE("http://crfop.gdos.gov.pl/CRFOP/widok/viewpomnikprzyrody.jsf?fop=","PL.ZIPOP.1393.PP.1020083.623"),"(kliknij lub Ctrl+kliknij)")</f>
        <v>(kliknij lub Ctrl+kliknij)</v>
      </c>
      <c r="H1574" s="0" t="s">
        <v>1038</v>
      </c>
    </row>
    <row r="1575" customFormat="false" ht="12.8" hidden="false" customHeight="false" outlineLevel="0" collapsed="false">
      <c r="A1575" s="1" t="s">
        <v>569</v>
      </c>
      <c r="C1575" s="3" t="s">
        <v>713</v>
      </c>
      <c r="D1575" s="4" t="s">
        <v>571</v>
      </c>
      <c r="F1575" s="6" t="s">
        <v>714</v>
      </c>
      <c r="G1575" s="7" t="str">
        <f aca="false">HYPERLINK(CONCATENATE("http://crfop.gdos.gov.pl/CRFOP/widok/viewpomnikprzyrody.jsf?fop=","PL.ZIPOP.1393.PP.1020083.624"),"(kliknij lub Ctrl+kliknij)")</f>
        <v>(kliknij lub Ctrl+kliknij)</v>
      </c>
      <c r="H1575" s="0" t="s">
        <v>1038</v>
      </c>
    </row>
    <row r="1576" customFormat="false" ht="12.8" hidden="false" customHeight="false" outlineLevel="0" collapsed="false">
      <c r="A1576" s="1" t="s">
        <v>569</v>
      </c>
      <c r="C1576" s="3" t="s">
        <v>713</v>
      </c>
      <c r="D1576" s="4" t="s">
        <v>571</v>
      </c>
      <c r="F1576" s="6" t="s">
        <v>714</v>
      </c>
      <c r="G1576" s="7" t="str">
        <f aca="false">HYPERLINK(CONCATENATE("http://crfop.gdos.gov.pl/CRFOP/widok/viewpomnikprzyrody.jsf?fop=","PL.ZIPOP.1393.PP.1020083.625"),"(kliknij lub Ctrl+kliknij)")</f>
        <v>(kliknij lub Ctrl+kliknij)</v>
      </c>
      <c r="H1576" s="0" t="s">
        <v>1038</v>
      </c>
    </row>
    <row r="1577" customFormat="false" ht="12.8" hidden="false" customHeight="false" outlineLevel="0" collapsed="false">
      <c r="A1577" s="1" t="s">
        <v>569</v>
      </c>
      <c r="C1577" s="3" t="s">
        <v>713</v>
      </c>
      <c r="D1577" s="4" t="s">
        <v>571</v>
      </c>
      <c r="F1577" s="6" t="s">
        <v>714</v>
      </c>
      <c r="G1577" s="7" t="str">
        <f aca="false">HYPERLINK(CONCATENATE("http://crfop.gdos.gov.pl/CRFOP/widok/viewpomnikprzyrody.jsf?fop=","PL.ZIPOP.1393.PP.1020083.626"),"(kliknij lub Ctrl+kliknij)")</f>
        <v>(kliknij lub Ctrl+kliknij)</v>
      </c>
      <c r="H1577" s="0" t="s">
        <v>1038</v>
      </c>
    </row>
    <row r="1578" customFormat="false" ht="12.8" hidden="false" customHeight="false" outlineLevel="0" collapsed="false">
      <c r="A1578" s="1" t="s">
        <v>569</v>
      </c>
      <c r="C1578" s="3" t="s">
        <v>713</v>
      </c>
      <c r="D1578" s="4" t="s">
        <v>571</v>
      </c>
      <c r="F1578" s="6" t="s">
        <v>714</v>
      </c>
      <c r="G1578" s="7" t="str">
        <f aca="false">HYPERLINK(CONCATENATE("http://crfop.gdos.gov.pl/CRFOP/widok/viewpomnikprzyrody.jsf?fop=","PL.ZIPOP.1393.PP.1020083.627"),"(kliknij lub Ctrl+kliknij)")</f>
        <v>(kliknij lub Ctrl+kliknij)</v>
      </c>
      <c r="H1578" s="0" t="s">
        <v>1038</v>
      </c>
    </row>
    <row r="1579" customFormat="false" ht="12.8" hidden="false" customHeight="false" outlineLevel="0" collapsed="false">
      <c r="A1579" s="1" t="s">
        <v>569</v>
      </c>
      <c r="C1579" s="3" t="s">
        <v>713</v>
      </c>
      <c r="D1579" s="4" t="s">
        <v>571</v>
      </c>
      <c r="F1579" s="6" t="s">
        <v>714</v>
      </c>
      <c r="G1579" s="7" t="str">
        <f aca="false">HYPERLINK(CONCATENATE("http://crfop.gdos.gov.pl/CRFOP/widok/viewpomnikprzyrody.jsf?fop=","PL.ZIPOP.1393.PP.1020083.628"),"(kliknij lub Ctrl+kliknij)")</f>
        <v>(kliknij lub Ctrl+kliknij)</v>
      </c>
      <c r="H1579" s="0" t="s">
        <v>1038</v>
      </c>
    </row>
    <row r="1580" customFormat="false" ht="12.8" hidden="false" customHeight="false" outlineLevel="0" collapsed="false">
      <c r="A1580" s="1" t="s">
        <v>569</v>
      </c>
      <c r="C1580" s="3" t="s">
        <v>713</v>
      </c>
      <c r="D1580" s="4" t="s">
        <v>571</v>
      </c>
      <c r="F1580" s="6" t="s">
        <v>714</v>
      </c>
      <c r="G1580" s="7" t="str">
        <f aca="false">HYPERLINK(CONCATENATE("http://crfop.gdos.gov.pl/CRFOP/widok/viewpomnikprzyrody.jsf?fop=","PL.ZIPOP.1393.PP.1020083.635"),"(kliknij lub Ctrl+kliknij)")</f>
        <v>(kliknij lub Ctrl+kliknij)</v>
      </c>
      <c r="H1580" s="0" t="s">
        <v>1038</v>
      </c>
    </row>
    <row r="1581" customFormat="false" ht="12.8" hidden="false" customHeight="false" outlineLevel="0" collapsed="false">
      <c r="A1581" s="1" t="s">
        <v>569</v>
      </c>
      <c r="C1581" s="3" t="s">
        <v>713</v>
      </c>
      <c r="D1581" s="4" t="s">
        <v>571</v>
      </c>
      <c r="F1581" s="6" t="s">
        <v>714</v>
      </c>
      <c r="G1581" s="7" t="str">
        <f aca="false">HYPERLINK(CONCATENATE("http://crfop.gdos.gov.pl/CRFOP/widok/viewpomnikprzyrody.jsf?fop=","PL.ZIPOP.1393.PP.1020083.637"),"(kliknij lub Ctrl+kliknij)")</f>
        <v>(kliknij lub Ctrl+kliknij)</v>
      </c>
      <c r="H1581" s="0" t="s">
        <v>1038</v>
      </c>
    </row>
    <row r="1582" customFormat="false" ht="12.8" hidden="false" customHeight="false" outlineLevel="0" collapsed="false">
      <c r="A1582" s="1" t="s">
        <v>569</v>
      </c>
      <c r="C1582" s="3" t="s">
        <v>713</v>
      </c>
      <c r="D1582" s="4" t="s">
        <v>571</v>
      </c>
      <c r="F1582" s="6" t="s">
        <v>714</v>
      </c>
      <c r="G1582" s="7" t="str">
        <f aca="false">HYPERLINK(CONCATENATE("http://crfop.gdos.gov.pl/CRFOP/widok/viewpomnikprzyrody.jsf?fop=","PL.ZIPOP.1393.PP.1020083.638"),"(kliknij lub Ctrl+kliknij)")</f>
        <v>(kliknij lub Ctrl+kliknij)</v>
      </c>
      <c r="H1582" s="0" t="s">
        <v>1038</v>
      </c>
    </row>
    <row r="1583" customFormat="false" ht="12.8" hidden="false" customHeight="false" outlineLevel="0" collapsed="false">
      <c r="A1583" s="1" t="s">
        <v>569</v>
      </c>
      <c r="C1583" s="3" t="s">
        <v>713</v>
      </c>
      <c r="D1583" s="4" t="s">
        <v>571</v>
      </c>
      <c r="F1583" s="6" t="s">
        <v>714</v>
      </c>
      <c r="G1583" s="7" t="str">
        <f aca="false">HYPERLINK(CONCATENATE("http://crfop.gdos.gov.pl/CRFOP/widok/viewpomnikprzyrody.jsf?fop=","PL.ZIPOP.1393.PP.1020083.640"),"(kliknij lub Ctrl+kliknij)")</f>
        <v>(kliknij lub Ctrl+kliknij)</v>
      </c>
      <c r="H1583" s="0" t="s">
        <v>1038</v>
      </c>
    </row>
    <row r="1584" customFormat="false" ht="12.8" hidden="false" customHeight="false" outlineLevel="0" collapsed="false">
      <c r="A1584" s="1" t="s">
        <v>569</v>
      </c>
      <c r="C1584" s="3" t="s">
        <v>713</v>
      </c>
      <c r="D1584" s="4" t="s">
        <v>571</v>
      </c>
      <c r="F1584" s="6" t="s">
        <v>714</v>
      </c>
      <c r="G1584" s="7" t="str">
        <f aca="false">HYPERLINK(CONCATENATE("http://crfop.gdos.gov.pl/CRFOP/widok/viewpomnikprzyrody.jsf?fop=","PL.ZIPOP.1393.PP.1020083.642"),"(kliknij lub Ctrl+kliknij)")</f>
        <v>(kliknij lub Ctrl+kliknij)</v>
      </c>
      <c r="H1584" s="0" t="s">
        <v>1038</v>
      </c>
    </row>
    <row r="1585" customFormat="false" ht="12.8" hidden="false" customHeight="false" outlineLevel="0" collapsed="false">
      <c r="A1585" s="1" t="s">
        <v>569</v>
      </c>
      <c r="C1585" s="3" t="s">
        <v>713</v>
      </c>
      <c r="D1585" s="4" t="s">
        <v>571</v>
      </c>
      <c r="F1585" s="6" t="s">
        <v>714</v>
      </c>
      <c r="G1585" s="7" t="str">
        <f aca="false">HYPERLINK(CONCATENATE("http://crfop.gdos.gov.pl/CRFOP/widok/viewpomnikprzyrody.jsf?fop=","PL.ZIPOP.1393.PP.1020083.643"),"(kliknij lub Ctrl+kliknij)")</f>
        <v>(kliknij lub Ctrl+kliknij)</v>
      </c>
      <c r="H1585" s="0" t="s">
        <v>1038</v>
      </c>
    </row>
    <row r="1586" customFormat="false" ht="12.8" hidden="false" customHeight="false" outlineLevel="0" collapsed="false">
      <c r="A1586" s="1" t="s">
        <v>569</v>
      </c>
      <c r="C1586" s="3" t="s">
        <v>713</v>
      </c>
      <c r="D1586" s="4" t="s">
        <v>571</v>
      </c>
      <c r="F1586" s="6" t="s">
        <v>714</v>
      </c>
      <c r="G1586" s="7" t="str">
        <f aca="false">HYPERLINK(CONCATENATE("http://crfop.gdos.gov.pl/CRFOP/widok/viewpomnikprzyrody.jsf?fop=","PL.ZIPOP.1393.PP.1020083.644"),"(kliknij lub Ctrl+kliknij)")</f>
        <v>(kliknij lub Ctrl+kliknij)</v>
      </c>
      <c r="H1586" s="0" t="s">
        <v>1038</v>
      </c>
    </row>
    <row r="1587" customFormat="false" ht="12.8" hidden="false" customHeight="false" outlineLevel="0" collapsed="false">
      <c r="A1587" s="1" t="s">
        <v>569</v>
      </c>
      <c r="C1587" s="3" t="s">
        <v>713</v>
      </c>
      <c r="D1587" s="4" t="s">
        <v>571</v>
      </c>
      <c r="F1587" s="6" t="s">
        <v>714</v>
      </c>
      <c r="G1587" s="7" t="str">
        <f aca="false">HYPERLINK(CONCATENATE("http://crfop.gdos.gov.pl/CRFOP/widok/viewpomnikprzyrody.jsf?fop=","PL.ZIPOP.1393.PP.1020083.645"),"(kliknij lub Ctrl+kliknij)")</f>
        <v>(kliknij lub Ctrl+kliknij)</v>
      </c>
      <c r="H1587" s="0" t="s">
        <v>1038</v>
      </c>
    </row>
    <row r="1588" customFormat="false" ht="12.8" hidden="false" customHeight="false" outlineLevel="0" collapsed="false">
      <c r="A1588" s="1" t="s">
        <v>569</v>
      </c>
      <c r="C1588" s="3" t="s">
        <v>713</v>
      </c>
      <c r="D1588" s="4" t="s">
        <v>571</v>
      </c>
      <c r="F1588" s="6" t="s">
        <v>714</v>
      </c>
      <c r="G1588" s="7" t="str">
        <f aca="false">HYPERLINK(CONCATENATE("http://crfop.gdos.gov.pl/CRFOP/widok/viewpomnikprzyrody.jsf?fop=","PL.ZIPOP.1393.PP.1020083.646"),"(kliknij lub Ctrl+kliknij)")</f>
        <v>(kliknij lub Ctrl+kliknij)</v>
      </c>
      <c r="H1588" s="0" t="s">
        <v>1038</v>
      </c>
    </row>
    <row r="1589" customFormat="false" ht="12.8" hidden="false" customHeight="false" outlineLevel="0" collapsed="false">
      <c r="A1589" s="1" t="s">
        <v>569</v>
      </c>
      <c r="C1589" s="3" t="s">
        <v>713</v>
      </c>
      <c r="D1589" s="4" t="s">
        <v>571</v>
      </c>
      <c r="F1589" s="6" t="s">
        <v>714</v>
      </c>
      <c r="G1589" s="7" t="str">
        <f aca="false">HYPERLINK(CONCATENATE("http://crfop.gdos.gov.pl/CRFOP/widok/viewpomnikprzyrody.jsf?fop=","PL.ZIPOP.1393.PP.1020083.647"),"(kliknij lub Ctrl+kliknij)")</f>
        <v>(kliknij lub Ctrl+kliknij)</v>
      </c>
      <c r="H1589" s="0" t="s">
        <v>1038</v>
      </c>
    </row>
    <row r="1590" customFormat="false" ht="12.8" hidden="false" customHeight="false" outlineLevel="0" collapsed="false">
      <c r="A1590" s="1" t="s">
        <v>569</v>
      </c>
      <c r="C1590" s="3" t="s">
        <v>713</v>
      </c>
      <c r="D1590" s="4" t="s">
        <v>571</v>
      </c>
      <c r="F1590" s="6" t="s">
        <v>714</v>
      </c>
      <c r="G1590" s="7" t="str">
        <f aca="false">HYPERLINK(CONCATENATE("http://crfop.gdos.gov.pl/CRFOP/widok/viewpomnikprzyrody.jsf?fop=","PL.ZIPOP.1393.PP.1020083.649"),"(kliknij lub Ctrl+kliknij)")</f>
        <v>(kliknij lub Ctrl+kliknij)</v>
      </c>
      <c r="H1590" s="0" t="s">
        <v>1038</v>
      </c>
    </row>
    <row r="1591" customFormat="false" ht="12.8" hidden="false" customHeight="false" outlineLevel="0" collapsed="false">
      <c r="A1591" s="1" t="s">
        <v>569</v>
      </c>
      <c r="C1591" s="3" t="s">
        <v>713</v>
      </c>
      <c r="D1591" s="4" t="s">
        <v>571</v>
      </c>
      <c r="F1591" s="6" t="s">
        <v>714</v>
      </c>
      <c r="G1591" s="7" t="str">
        <f aca="false">HYPERLINK(CONCATENATE("http://crfop.gdos.gov.pl/CRFOP/widok/viewpomnikprzyrody.jsf?fop=","PL.ZIPOP.1393.PP.1020083.650"),"(kliknij lub Ctrl+kliknij)")</f>
        <v>(kliknij lub Ctrl+kliknij)</v>
      </c>
      <c r="H1591" s="0" t="s">
        <v>1038</v>
      </c>
    </row>
    <row r="1592" customFormat="false" ht="12.8" hidden="false" customHeight="false" outlineLevel="0" collapsed="false">
      <c r="A1592" s="1" t="s">
        <v>569</v>
      </c>
      <c r="C1592" s="3" t="s">
        <v>713</v>
      </c>
      <c r="D1592" s="4" t="s">
        <v>571</v>
      </c>
      <c r="F1592" s="6" t="s">
        <v>714</v>
      </c>
      <c r="G1592" s="7" t="str">
        <f aca="false">HYPERLINK(CONCATENATE("http://crfop.gdos.gov.pl/CRFOP/widok/viewpomnikprzyrody.jsf?fop=","PL.ZIPOP.1393.PP.1020083.651"),"(kliknij lub Ctrl+kliknij)")</f>
        <v>(kliknij lub Ctrl+kliknij)</v>
      </c>
      <c r="H1592" s="0" t="s">
        <v>1038</v>
      </c>
    </row>
    <row r="1593" customFormat="false" ht="12.8" hidden="false" customHeight="false" outlineLevel="0" collapsed="false">
      <c r="A1593" s="1" t="s">
        <v>569</v>
      </c>
      <c r="C1593" s="3" t="s">
        <v>713</v>
      </c>
      <c r="D1593" s="4" t="s">
        <v>571</v>
      </c>
      <c r="F1593" s="6" t="s">
        <v>714</v>
      </c>
      <c r="G1593" s="7" t="str">
        <f aca="false">HYPERLINK(CONCATENATE("http://crfop.gdos.gov.pl/CRFOP/widok/viewpomnikprzyrody.jsf?fop=","PL.ZIPOP.1393.PP.1020083.653"),"(kliknij lub Ctrl+kliknij)")</f>
        <v>(kliknij lub Ctrl+kliknij)</v>
      </c>
      <c r="H1593" s="0" t="s">
        <v>1038</v>
      </c>
    </row>
    <row r="1594" customFormat="false" ht="12.8" hidden="false" customHeight="false" outlineLevel="0" collapsed="false">
      <c r="A1594" s="1" t="s">
        <v>569</v>
      </c>
      <c r="C1594" s="3" t="s">
        <v>713</v>
      </c>
      <c r="D1594" s="4" t="s">
        <v>571</v>
      </c>
      <c r="F1594" s="6" t="s">
        <v>714</v>
      </c>
      <c r="G1594" s="7" t="str">
        <f aca="false">HYPERLINK(CONCATENATE("http://crfop.gdos.gov.pl/CRFOP/widok/viewpomnikprzyrody.jsf?fop=","PL.ZIPOP.1393.PP.1020083.654"),"(kliknij lub Ctrl+kliknij)")</f>
        <v>(kliknij lub Ctrl+kliknij)</v>
      </c>
      <c r="H1594" s="0" t="s">
        <v>1038</v>
      </c>
    </row>
    <row r="1595" customFormat="false" ht="12.8" hidden="false" customHeight="false" outlineLevel="0" collapsed="false">
      <c r="A1595" s="1" t="s">
        <v>569</v>
      </c>
      <c r="C1595" s="3" t="s">
        <v>713</v>
      </c>
      <c r="D1595" s="4" t="s">
        <v>571</v>
      </c>
      <c r="F1595" s="6" t="s">
        <v>714</v>
      </c>
      <c r="G1595" s="7" t="str">
        <f aca="false">HYPERLINK(CONCATENATE("http://crfop.gdos.gov.pl/CRFOP/widok/viewpomnikprzyrody.jsf?fop=","PL.ZIPOP.1393.PP.1020083.655"),"(kliknij lub Ctrl+kliknij)")</f>
        <v>(kliknij lub Ctrl+kliknij)</v>
      </c>
      <c r="H1595" s="0" t="s">
        <v>1038</v>
      </c>
    </row>
    <row r="1596" customFormat="false" ht="12.8" hidden="false" customHeight="false" outlineLevel="0" collapsed="false">
      <c r="A1596" s="1" t="s">
        <v>569</v>
      </c>
      <c r="C1596" s="3" t="s">
        <v>713</v>
      </c>
      <c r="D1596" s="4" t="s">
        <v>571</v>
      </c>
      <c r="F1596" s="6" t="s">
        <v>714</v>
      </c>
      <c r="G1596" s="7" t="str">
        <f aca="false">HYPERLINK(CONCATENATE("http://crfop.gdos.gov.pl/CRFOP/widok/viewpomnikprzyrody.jsf?fop=","PL.ZIPOP.1393.PP.1020083.656"),"(kliknij lub Ctrl+kliknij)")</f>
        <v>(kliknij lub Ctrl+kliknij)</v>
      </c>
      <c r="H1596" s="0" t="s">
        <v>1038</v>
      </c>
    </row>
    <row r="1597" customFormat="false" ht="12.8" hidden="false" customHeight="false" outlineLevel="0" collapsed="false">
      <c r="A1597" s="1" t="s">
        <v>569</v>
      </c>
      <c r="C1597" s="3" t="s">
        <v>713</v>
      </c>
      <c r="D1597" s="4" t="s">
        <v>571</v>
      </c>
      <c r="F1597" s="6" t="s">
        <v>714</v>
      </c>
      <c r="G1597" s="7" t="str">
        <f aca="false">HYPERLINK(CONCATENATE("http://crfop.gdos.gov.pl/CRFOP/widok/viewpomnikprzyrody.jsf?fop=","PL.ZIPOP.1393.PP.1020083.657"),"(kliknij lub Ctrl+kliknij)")</f>
        <v>(kliknij lub Ctrl+kliknij)</v>
      </c>
      <c r="H1597" s="0" t="s">
        <v>1038</v>
      </c>
    </row>
    <row r="1598" customFormat="false" ht="12.8" hidden="false" customHeight="false" outlineLevel="0" collapsed="false">
      <c r="A1598" s="1" t="s">
        <v>569</v>
      </c>
      <c r="C1598" s="3" t="s">
        <v>713</v>
      </c>
      <c r="D1598" s="4" t="s">
        <v>571</v>
      </c>
      <c r="F1598" s="6" t="s">
        <v>714</v>
      </c>
      <c r="G1598" s="7" t="str">
        <f aca="false">HYPERLINK(CONCATENATE("http://crfop.gdos.gov.pl/CRFOP/widok/viewpomnikprzyrody.jsf?fop=","PL.ZIPOP.1393.PP.1020083.658"),"(kliknij lub Ctrl+kliknij)")</f>
        <v>(kliknij lub Ctrl+kliknij)</v>
      </c>
      <c r="H1598" s="0" t="s">
        <v>1038</v>
      </c>
    </row>
    <row r="1599" customFormat="false" ht="12.8" hidden="false" customHeight="false" outlineLevel="0" collapsed="false">
      <c r="A1599" s="1" t="s">
        <v>569</v>
      </c>
      <c r="C1599" s="3" t="s">
        <v>713</v>
      </c>
      <c r="D1599" s="4" t="s">
        <v>571</v>
      </c>
      <c r="F1599" s="6" t="s">
        <v>714</v>
      </c>
      <c r="G1599" s="7" t="str">
        <f aca="false">HYPERLINK(CONCATENATE("http://crfop.gdos.gov.pl/CRFOP/widok/viewpomnikprzyrody.jsf?fop=","PL.ZIPOP.1393.PP.1020083.659"),"(kliknij lub Ctrl+kliknij)")</f>
        <v>(kliknij lub Ctrl+kliknij)</v>
      </c>
      <c r="H1599" s="0" t="s">
        <v>1038</v>
      </c>
    </row>
    <row r="1600" customFormat="false" ht="12.8" hidden="false" customHeight="false" outlineLevel="0" collapsed="false">
      <c r="A1600" s="1" t="s">
        <v>569</v>
      </c>
      <c r="C1600" s="3" t="s">
        <v>713</v>
      </c>
      <c r="D1600" s="4" t="s">
        <v>571</v>
      </c>
      <c r="F1600" s="6" t="s">
        <v>714</v>
      </c>
      <c r="G1600" s="7" t="str">
        <f aca="false">HYPERLINK(CONCATENATE("http://crfop.gdos.gov.pl/CRFOP/widok/viewpomnikprzyrody.jsf?fop=","PL.ZIPOP.1393.PP.1020083.661"),"(kliknij lub Ctrl+kliknij)")</f>
        <v>(kliknij lub Ctrl+kliknij)</v>
      </c>
      <c r="H1600" s="0" t="s">
        <v>1038</v>
      </c>
    </row>
    <row r="1601" customFormat="false" ht="12.8" hidden="false" customHeight="false" outlineLevel="0" collapsed="false">
      <c r="A1601" s="1" t="s">
        <v>569</v>
      </c>
      <c r="C1601" s="3" t="s">
        <v>713</v>
      </c>
      <c r="D1601" s="4" t="s">
        <v>571</v>
      </c>
      <c r="F1601" s="6" t="s">
        <v>714</v>
      </c>
      <c r="G1601" s="7" t="str">
        <f aca="false">HYPERLINK(CONCATENATE("http://crfop.gdos.gov.pl/CRFOP/widok/viewpomnikprzyrody.jsf?fop=","PL.ZIPOP.1393.PP.1020083.662"),"(kliknij lub Ctrl+kliknij)")</f>
        <v>(kliknij lub Ctrl+kliknij)</v>
      </c>
      <c r="H1601" s="0" t="s">
        <v>1038</v>
      </c>
    </row>
    <row r="1602" customFormat="false" ht="12.8" hidden="false" customHeight="false" outlineLevel="0" collapsed="false">
      <c r="A1602" s="1" t="s">
        <v>569</v>
      </c>
      <c r="C1602" s="3" t="s">
        <v>713</v>
      </c>
      <c r="D1602" s="4" t="s">
        <v>571</v>
      </c>
      <c r="F1602" s="6" t="s">
        <v>714</v>
      </c>
      <c r="G1602" s="7" t="str">
        <f aca="false">HYPERLINK(CONCATENATE("http://crfop.gdos.gov.pl/CRFOP/widok/viewpomnikprzyrody.jsf?fop=","PL.ZIPOP.1393.PP.1020083.663"),"(kliknij lub Ctrl+kliknij)")</f>
        <v>(kliknij lub Ctrl+kliknij)</v>
      </c>
      <c r="H1602" s="0" t="s">
        <v>1038</v>
      </c>
    </row>
    <row r="1603" customFormat="false" ht="12.8" hidden="false" customHeight="false" outlineLevel="0" collapsed="false">
      <c r="A1603" s="1" t="s">
        <v>569</v>
      </c>
      <c r="C1603" s="3" t="s">
        <v>1040</v>
      </c>
      <c r="D1603" s="4" t="s">
        <v>571</v>
      </c>
      <c r="F1603" s="6" t="s">
        <v>1041</v>
      </c>
      <c r="G1603" s="7" t="str">
        <f aca="false">HYPERLINK(CONCATENATE("http://crfop.gdos.gov.pl/CRFOP/widok/viewpomnikprzyrody.jsf?fop=","PL.ZIPOP.1393.PP.1020083.664"),"(kliknij lub Ctrl+kliknij)")</f>
        <v>(kliknij lub Ctrl+kliknij)</v>
      </c>
      <c r="H1603" s="0" t="s">
        <v>1038</v>
      </c>
    </row>
    <row r="1604" customFormat="false" ht="12.8" hidden="false" customHeight="false" outlineLevel="0" collapsed="false">
      <c r="A1604" s="1" t="s">
        <v>569</v>
      </c>
      <c r="C1604" s="3" t="s">
        <v>1040</v>
      </c>
      <c r="D1604" s="4" t="s">
        <v>571</v>
      </c>
      <c r="F1604" s="6" t="s">
        <v>1041</v>
      </c>
      <c r="G1604" s="7" t="str">
        <f aca="false">HYPERLINK(CONCATENATE("http://crfop.gdos.gov.pl/CRFOP/widok/viewpomnikprzyrody.jsf?fop=","PL.ZIPOP.1393.PP.1020083.665"),"(kliknij lub Ctrl+kliknij)")</f>
        <v>(kliknij lub Ctrl+kliknij)</v>
      </c>
      <c r="H1604" s="0" t="s">
        <v>1038</v>
      </c>
    </row>
    <row r="1605" customFormat="false" ht="12.8" hidden="false" customHeight="false" outlineLevel="0" collapsed="false">
      <c r="A1605" s="1" t="s">
        <v>569</v>
      </c>
      <c r="C1605" s="3" t="s">
        <v>1040</v>
      </c>
      <c r="D1605" s="4" t="s">
        <v>571</v>
      </c>
      <c r="F1605" s="6" t="s">
        <v>1041</v>
      </c>
      <c r="G1605" s="7" t="str">
        <f aca="false">HYPERLINK(CONCATENATE("http://crfop.gdos.gov.pl/CRFOP/widok/viewpomnikprzyrody.jsf?fop=","PL.ZIPOP.1393.PP.1020083.666"),"(kliknij lub Ctrl+kliknij)")</f>
        <v>(kliknij lub Ctrl+kliknij)</v>
      </c>
      <c r="H1605" s="0" t="s">
        <v>1038</v>
      </c>
    </row>
    <row r="1606" customFormat="false" ht="12.8" hidden="false" customHeight="false" outlineLevel="0" collapsed="false">
      <c r="A1606" s="1" t="s">
        <v>569</v>
      </c>
      <c r="C1606" s="3" t="s">
        <v>1040</v>
      </c>
      <c r="D1606" s="4" t="s">
        <v>571</v>
      </c>
      <c r="F1606" s="6" t="s">
        <v>1041</v>
      </c>
      <c r="G1606" s="7" t="str">
        <f aca="false">HYPERLINK(CONCATENATE("http://crfop.gdos.gov.pl/CRFOP/widok/viewpomnikprzyrody.jsf?fop=","PL.ZIPOP.1393.PP.1020083.667"),"(kliknij lub Ctrl+kliknij)")</f>
        <v>(kliknij lub Ctrl+kliknij)</v>
      </c>
      <c r="H1606" s="0" t="s">
        <v>1038</v>
      </c>
    </row>
    <row r="1607" customFormat="false" ht="12.8" hidden="false" customHeight="false" outlineLevel="0" collapsed="false">
      <c r="A1607" s="1" t="s">
        <v>569</v>
      </c>
      <c r="C1607" s="3" t="s">
        <v>1042</v>
      </c>
      <c r="D1607" s="4" t="s">
        <v>571</v>
      </c>
      <c r="F1607" s="6" t="s">
        <v>1043</v>
      </c>
      <c r="G1607" s="7" t="str">
        <f aca="false">HYPERLINK(CONCATENATE("http://crfop.gdos.gov.pl/CRFOP/widok/viewpomnikprzyrody.jsf?fop=","PL.ZIPOP.1393.PP.1020083.668"),"(kliknij lub Ctrl+kliknij)")</f>
        <v>(kliknij lub Ctrl+kliknij)</v>
      </c>
      <c r="H1607" s="0" t="s">
        <v>1038</v>
      </c>
    </row>
    <row r="1608" customFormat="false" ht="12.8" hidden="false" customHeight="false" outlineLevel="0" collapsed="false">
      <c r="A1608" s="1" t="s">
        <v>569</v>
      </c>
      <c r="C1608" s="3" t="s">
        <v>1044</v>
      </c>
      <c r="D1608" s="4" t="s">
        <v>571</v>
      </c>
      <c r="F1608" s="6" t="s">
        <v>1045</v>
      </c>
      <c r="G1608" s="7" t="str">
        <f aca="false">HYPERLINK(CONCATENATE("http://crfop.gdos.gov.pl/CRFOP/widok/viewpomnikprzyrody.jsf?fop=","PL.ZIPOP.1393.PP.1020083.669"),"(kliknij lub Ctrl+kliknij)")</f>
        <v>(kliknij lub Ctrl+kliknij)</v>
      </c>
      <c r="H1608" s="0" t="s">
        <v>1038</v>
      </c>
    </row>
    <row r="1609" customFormat="false" ht="12.8" hidden="false" customHeight="false" outlineLevel="0" collapsed="false">
      <c r="A1609" s="1" t="s">
        <v>569</v>
      </c>
      <c r="C1609" s="3" t="s">
        <v>1046</v>
      </c>
      <c r="D1609" s="4" t="s">
        <v>571</v>
      </c>
      <c r="F1609" s="6" t="s">
        <v>1047</v>
      </c>
      <c r="G1609" s="7" t="str">
        <f aca="false">HYPERLINK(CONCATENATE("http://crfop.gdos.gov.pl/CRFOP/widok/viewpomnikprzyrody.jsf?fop=","PL.ZIPOP.1393.PP.1020083.671"),"(kliknij lub Ctrl+kliknij)")</f>
        <v>(kliknij lub Ctrl+kliknij)</v>
      </c>
      <c r="H1609" s="0" t="s">
        <v>1038</v>
      </c>
    </row>
    <row r="1610" customFormat="false" ht="12.8" hidden="false" customHeight="false" outlineLevel="0" collapsed="false">
      <c r="A1610" s="1" t="s">
        <v>569</v>
      </c>
      <c r="B1610" s="2" t="s">
        <v>1048</v>
      </c>
      <c r="C1610" s="3" t="s">
        <v>1049</v>
      </c>
      <c r="D1610" s="4" t="s">
        <v>571</v>
      </c>
      <c r="F1610" s="6" t="s">
        <v>1050</v>
      </c>
      <c r="G1610" s="7" t="str">
        <f aca="false">HYPERLINK(CONCATENATE("http://crfop.gdos.gov.pl/CRFOP/widok/viewpomnikprzyrody.jsf?fop=","PL.ZIPOP.1393.PP.1020083.672"),"(kliknij lub Ctrl+kliknij)")</f>
        <v>(kliknij lub Ctrl+kliknij)</v>
      </c>
      <c r="H1610" s="0" t="s">
        <v>1038</v>
      </c>
    </row>
    <row r="1611" customFormat="false" ht="12.8" hidden="false" customHeight="false" outlineLevel="0" collapsed="false">
      <c r="A1611" s="1" t="s">
        <v>569</v>
      </c>
      <c r="C1611" s="3" t="s">
        <v>1051</v>
      </c>
      <c r="D1611" s="4" t="s">
        <v>571</v>
      </c>
      <c r="F1611" s="6" t="s">
        <v>1052</v>
      </c>
      <c r="G1611" s="7" t="str">
        <f aca="false">HYPERLINK(CONCATENATE("http://crfop.gdos.gov.pl/CRFOP/widok/viewpomnikprzyrody.jsf?fop=","PL.ZIPOP.1393.PP.1020092.434"),"(kliknij lub Ctrl+kliknij)")</f>
        <v>(kliknij lub Ctrl+kliknij)</v>
      </c>
      <c r="H1611" s="0" t="s">
        <v>1053</v>
      </c>
    </row>
    <row r="1612" customFormat="false" ht="12.8" hidden="false" customHeight="false" outlineLevel="0" collapsed="false">
      <c r="A1612" s="1" t="s">
        <v>569</v>
      </c>
      <c r="C1612" s="3" t="s">
        <v>1051</v>
      </c>
      <c r="D1612" s="4" t="s">
        <v>571</v>
      </c>
      <c r="F1612" s="6" t="s">
        <v>1052</v>
      </c>
      <c r="G1612" s="7" t="str">
        <f aca="false">HYPERLINK(CONCATENATE("http://crfop.gdos.gov.pl/CRFOP/widok/viewpomnikprzyrody.jsf?fop=","PL.ZIPOP.1393.PP.1020092.435"),"(kliknij lub Ctrl+kliknij)")</f>
        <v>(kliknij lub Ctrl+kliknij)</v>
      </c>
      <c r="H1612" s="0" t="s">
        <v>1053</v>
      </c>
    </row>
    <row r="1613" customFormat="false" ht="12.8" hidden="false" customHeight="false" outlineLevel="0" collapsed="false">
      <c r="A1613" s="1" t="s">
        <v>569</v>
      </c>
      <c r="C1613" s="3" t="s">
        <v>1051</v>
      </c>
      <c r="D1613" s="4" t="s">
        <v>571</v>
      </c>
      <c r="F1613" s="6" t="s">
        <v>1052</v>
      </c>
      <c r="G1613" s="7" t="str">
        <f aca="false">HYPERLINK(CONCATENATE("http://crfop.gdos.gov.pl/CRFOP/widok/viewpomnikprzyrody.jsf?fop=","PL.ZIPOP.1393.PP.1020092.436"),"(kliknij lub Ctrl+kliknij)")</f>
        <v>(kliknij lub Ctrl+kliknij)</v>
      </c>
      <c r="H1613" s="0" t="s">
        <v>1053</v>
      </c>
    </row>
    <row r="1614" customFormat="false" ht="12.8" hidden="false" customHeight="false" outlineLevel="0" collapsed="false">
      <c r="A1614" s="1" t="s">
        <v>569</v>
      </c>
      <c r="C1614" s="3" t="s">
        <v>1051</v>
      </c>
      <c r="D1614" s="4" t="s">
        <v>571</v>
      </c>
      <c r="F1614" s="6" t="s">
        <v>1052</v>
      </c>
      <c r="G1614" s="7" t="str">
        <f aca="false">HYPERLINK(CONCATENATE("http://crfop.gdos.gov.pl/CRFOP/widok/viewpomnikprzyrody.jsf?fop=","PL.ZIPOP.1393.PP.1020092.437"),"(kliknij lub Ctrl+kliknij)")</f>
        <v>(kliknij lub Ctrl+kliknij)</v>
      </c>
      <c r="H1614" s="0" t="s">
        <v>1053</v>
      </c>
    </row>
    <row r="1615" customFormat="false" ht="12.8" hidden="false" customHeight="false" outlineLevel="0" collapsed="false">
      <c r="A1615" s="1" t="s">
        <v>569</v>
      </c>
      <c r="C1615" s="3" t="s">
        <v>1051</v>
      </c>
      <c r="D1615" s="4" t="s">
        <v>571</v>
      </c>
      <c r="F1615" s="6" t="s">
        <v>1052</v>
      </c>
      <c r="G1615" s="7" t="str">
        <f aca="false">HYPERLINK(CONCATENATE("http://crfop.gdos.gov.pl/CRFOP/widok/viewpomnikprzyrody.jsf?fop=","PL.ZIPOP.1393.PP.1020092.438"),"(kliknij lub Ctrl+kliknij)")</f>
        <v>(kliknij lub Ctrl+kliknij)</v>
      </c>
      <c r="H1615" s="0" t="s">
        <v>1053</v>
      </c>
    </row>
    <row r="1616" customFormat="false" ht="12.8" hidden="false" customHeight="false" outlineLevel="0" collapsed="false">
      <c r="A1616" s="1" t="s">
        <v>569</v>
      </c>
      <c r="C1616" s="3" t="s">
        <v>1051</v>
      </c>
      <c r="D1616" s="4" t="s">
        <v>571</v>
      </c>
      <c r="F1616" s="6" t="s">
        <v>1052</v>
      </c>
      <c r="G1616" s="7" t="str">
        <f aca="false">HYPERLINK(CONCATENATE("http://crfop.gdos.gov.pl/CRFOP/widok/viewpomnikprzyrody.jsf?fop=","PL.ZIPOP.1393.PP.1020092.439"),"(kliknij lub Ctrl+kliknij)")</f>
        <v>(kliknij lub Ctrl+kliknij)</v>
      </c>
      <c r="H1616" s="0" t="s">
        <v>1053</v>
      </c>
    </row>
    <row r="1617" customFormat="false" ht="12.8" hidden="false" customHeight="false" outlineLevel="0" collapsed="false">
      <c r="A1617" s="1" t="s">
        <v>569</v>
      </c>
      <c r="C1617" s="3" t="s">
        <v>1051</v>
      </c>
      <c r="D1617" s="4" t="s">
        <v>571</v>
      </c>
      <c r="F1617" s="6" t="s">
        <v>1052</v>
      </c>
      <c r="G1617" s="7" t="str">
        <f aca="false">HYPERLINK(CONCATENATE("http://crfop.gdos.gov.pl/CRFOP/widok/viewpomnikprzyrody.jsf?fop=","PL.ZIPOP.1393.PP.1020092.440"),"(kliknij lub Ctrl+kliknij)")</f>
        <v>(kliknij lub Ctrl+kliknij)</v>
      </c>
      <c r="H1617" s="0" t="s">
        <v>1053</v>
      </c>
    </row>
    <row r="1618" customFormat="false" ht="12.8" hidden="false" customHeight="false" outlineLevel="0" collapsed="false">
      <c r="A1618" s="1" t="s">
        <v>569</v>
      </c>
      <c r="C1618" s="3" t="s">
        <v>1051</v>
      </c>
      <c r="D1618" s="4" t="s">
        <v>571</v>
      </c>
      <c r="F1618" s="6" t="s">
        <v>1052</v>
      </c>
      <c r="G1618" s="7" t="str">
        <f aca="false">HYPERLINK(CONCATENATE("http://crfop.gdos.gov.pl/CRFOP/widok/viewpomnikprzyrody.jsf?fop=","PL.ZIPOP.1393.PP.1020092.441"),"(kliknij lub Ctrl+kliknij)")</f>
        <v>(kliknij lub Ctrl+kliknij)</v>
      </c>
      <c r="H1618" s="0" t="s">
        <v>1053</v>
      </c>
    </row>
    <row r="1619" customFormat="false" ht="12.8" hidden="false" customHeight="false" outlineLevel="0" collapsed="false">
      <c r="A1619" s="1" t="s">
        <v>569</v>
      </c>
      <c r="C1619" s="3" t="s">
        <v>1051</v>
      </c>
      <c r="D1619" s="4" t="s">
        <v>571</v>
      </c>
      <c r="F1619" s="6" t="s">
        <v>1052</v>
      </c>
      <c r="G1619" s="7" t="str">
        <f aca="false">HYPERLINK(CONCATENATE("http://crfop.gdos.gov.pl/CRFOP/widok/viewpomnikprzyrody.jsf?fop=","PL.ZIPOP.1393.PP.1020092.442"),"(kliknij lub Ctrl+kliknij)")</f>
        <v>(kliknij lub Ctrl+kliknij)</v>
      </c>
      <c r="H1619" s="0" t="s">
        <v>1053</v>
      </c>
    </row>
    <row r="1620" customFormat="false" ht="12.8" hidden="false" customHeight="false" outlineLevel="0" collapsed="false">
      <c r="A1620" s="1" t="s">
        <v>569</v>
      </c>
      <c r="C1620" s="3" t="s">
        <v>1051</v>
      </c>
      <c r="D1620" s="4" t="s">
        <v>571</v>
      </c>
      <c r="F1620" s="6" t="s">
        <v>1052</v>
      </c>
      <c r="G1620" s="7" t="str">
        <f aca="false">HYPERLINK(CONCATENATE("http://crfop.gdos.gov.pl/CRFOP/widok/viewpomnikprzyrody.jsf?fop=","PL.ZIPOP.1393.PP.1020092.443"),"(kliknij lub Ctrl+kliknij)")</f>
        <v>(kliknij lub Ctrl+kliknij)</v>
      </c>
      <c r="H1620" s="0" t="s">
        <v>1053</v>
      </c>
    </row>
    <row r="1621" customFormat="false" ht="12.8" hidden="false" customHeight="false" outlineLevel="0" collapsed="false">
      <c r="A1621" s="1" t="s">
        <v>569</v>
      </c>
      <c r="C1621" s="3" t="s">
        <v>1034</v>
      </c>
      <c r="D1621" s="4" t="s">
        <v>571</v>
      </c>
      <c r="F1621" s="6" t="s">
        <v>708</v>
      </c>
      <c r="G1621" s="7" t="str">
        <f aca="false">HYPERLINK(CONCATENATE("http://crfop.gdos.gov.pl/CRFOP/widok/viewpomnikprzyrody.jsf?fop=","PL.ZIPOP.1393.PP.1020092.445"),"(kliknij lub Ctrl+kliknij)")</f>
        <v>(kliknij lub Ctrl+kliknij)</v>
      </c>
      <c r="H1621" s="0" t="s">
        <v>1053</v>
      </c>
    </row>
    <row r="1622" customFormat="false" ht="12.8" hidden="false" customHeight="false" outlineLevel="0" collapsed="false">
      <c r="A1622" s="1" t="s">
        <v>569</v>
      </c>
      <c r="C1622" s="3" t="s">
        <v>1034</v>
      </c>
      <c r="D1622" s="4" t="s">
        <v>571</v>
      </c>
      <c r="F1622" s="6" t="s">
        <v>708</v>
      </c>
      <c r="G1622" s="7" t="str">
        <f aca="false">HYPERLINK(CONCATENATE("http://crfop.gdos.gov.pl/CRFOP/widok/viewpomnikprzyrody.jsf?fop=","PL.ZIPOP.1393.PP.1020092.446"),"(kliknij lub Ctrl+kliknij)")</f>
        <v>(kliknij lub Ctrl+kliknij)</v>
      </c>
      <c r="H1622" s="0" t="s">
        <v>1053</v>
      </c>
    </row>
    <row r="1623" customFormat="false" ht="12.8" hidden="false" customHeight="false" outlineLevel="0" collapsed="false">
      <c r="A1623" s="1" t="s">
        <v>569</v>
      </c>
      <c r="C1623" s="3" t="s">
        <v>710</v>
      </c>
      <c r="D1623" s="4" t="s">
        <v>571</v>
      </c>
      <c r="F1623" s="6" t="s">
        <v>711</v>
      </c>
      <c r="G1623" s="7" t="str">
        <f aca="false">HYPERLINK(CONCATENATE("http://crfop.gdos.gov.pl/CRFOP/widok/viewpomnikprzyrody.jsf?fop=","PL.ZIPOP.1393.PP.1020092.449"),"(kliknij lub Ctrl+kliknij)")</f>
        <v>(kliknij lub Ctrl+kliknij)</v>
      </c>
      <c r="H1623" s="0" t="s">
        <v>1053</v>
      </c>
    </row>
    <row r="1624" customFormat="false" ht="12.8" hidden="false" customHeight="false" outlineLevel="0" collapsed="false">
      <c r="A1624" s="1" t="s">
        <v>569</v>
      </c>
      <c r="C1624" s="3" t="s">
        <v>710</v>
      </c>
      <c r="D1624" s="4" t="s">
        <v>571</v>
      </c>
      <c r="F1624" s="6" t="s">
        <v>711</v>
      </c>
      <c r="G1624" s="7" t="str">
        <f aca="false">HYPERLINK(CONCATENATE("http://crfop.gdos.gov.pl/CRFOP/widok/viewpomnikprzyrody.jsf?fop=","PL.ZIPOP.1393.PP.1020092.450"),"(kliknij lub Ctrl+kliknij)")</f>
        <v>(kliknij lub Ctrl+kliknij)</v>
      </c>
      <c r="H1624" s="0" t="s">
        <v>1053</v>
      </c>
    </row>
    <row r="1625" customFormat="false" ht="12.8" hidden="false" customHeight="false" outlineLevel="0" collapsed="false">
      <c r="A1625" s="1" t="s">
        <v>569</v>
      </c>
      <c r="C1625" s="3" t="s">
        <v>710</v>
      </c>
      <c r="D1625" s="4" t="s">
        <v>571</v>
      </c>
      <c r="F1625" s="6" t="s">
        <v>711</v>
      </c>
      <c r="G1625" s="7" t="str">
        <f aca="false">HYPERLINK(CONCATENATE("http://crfop.gdos.gov.pl/CRFOP/widok/viewpomnikprzyrody.jsf?fop=","PL.ZIPOP.1393.PP.1020092.451"),"(kliknij lub Ctrl+kliknij)")</f>
        <v>(kliknij lub Ctrl+kliknij)</v>
      </c>
      <c r="H1625" s="0" t="s">
        <v>1053</v>
      </c>
    </row>
    <row r="1626" customFormat="false" ht="12.8" hidden="false" customHeight="false" outlineLevel="0" collapsed="false">
      <c r="A1626" s="1" t="s">
        <v>569</v>
      </c>
      <c r="C1626" s="3" t="s">
        <v>710</v>
      </c>
      <c r="D1626" s="4" t="s">
        <v>571</v>
      </c>
      <c r="F1626" s="6" t="s">
        <v>711</v>
      </c>
      <c r="G1626" s="7" t="str">
        <f aca="false">HYPERLINK(CONCATENATE("http://crfop.gdos.gov.pl/CRFOP/widok/viewpomnikprzyrody.jsf?fop=","PL.ZIPOP.1393.PP.1020092.453"),"(kliknij lub Ctrl+kliknij)")</f>
        <v>(kliknij lub Ctrl+kliknij)</v>
      </c>
      <c r="H1626" s="0" t="s">
        <v>1053</v>
      </c>
    </row>
    <row r="1627" customFormat="false" ht="12.8" hidden="false" customHeight="false" outlineLevel="0" collapsed="false">
      <c r="A1627" s="1" t="s">
        <v>569</v>
      </c>
      <c r="C1627" s="3" t="s">
        <v>710</v>
      </c>
      <c r="D1627" s="4" t="s">
        <v>571</v>
      </c>
      <c r="F1627" s="6" t="s">
        <v>711</v>
      </c>
      <c r="G1627" s="7" t="str">
        <f aca="false">HYPERLINK(CONCATENATE("http://crfop.gdos.gov.pl/CRFOP/widok/viewpomnikprzyrody.jsf?fop=","PL.ZIPOP.1393.PP.1020092.454"),"(kliknij lub Ctrl+kliknij)")</f>
        <v>(kliknij lub Ctrl+kliknij)</v>
      </c>
      <c r="H1627" s="0" t="s">
        <v>1053</v>
      </c>
    </row>
    <row r="1628" customFormat="false" ht="12.8" hidden="false" customHeight="false" outlineLevel="0" collapsed="false">
      <c r="A1628" s="1" t="s">
        <v>569</v>
      </c>
      <c r="C1628" s="3" t="s">
        <v>710</v>
      </c>
      <c r="D1628" s="4" t="s">
        <v>571</v>
      </c>
      <c r="F1628" s="6" t="s">
        <v>711</v>
      </c>
      <c r="G1628" s="7" t="str">
        <f aca="false">HYPERLINK(CONCATENATE("http://crfop.gdos.gov.pl/CRFOP/widok/viewpomnikprzyrody.jsf?fop=","PL.ZIPOP.1393.PP.1020092.455"),"(kliknij lub Ctrl+kliknij)")</f>
        <v>(kliknij lub Ctrl+kliknij)</v>
      </c>
      <c r="H1628" s="0" t="s">
        <v>1053</v>
      </c>
    </row>
    <row r="1629" customFormat="false" ht="12.8" hidden="false" customHeight="false" outlineLevel="0" collapsed="false">
      <c r="A1629" s="1" t="s">
        <v>569</v>
      </c>
      <c r="C1629" s="3" t="s">
        <v>710</v>
      </c>
      <c r="D1629" s="4" t="s">
        <v>571</v>
      </c>
      <c r="F1629" s="6" t="s">
        <v>711</v>
      </c>
      <c r="G1629" s="7" t="str">
        <f aca="false">HYPERLINK(CONCATENATE("http://crfop.gdos.gov.pl/CRFOP/widok/viewpomnikprzyrody.jsf?fop=","PL.ZIPOP.1393.PP.1020092.456"),"(kliknij lub Ctrl+kliknij)")</f>
        <v>(kliknij lub Ctrl+kliknij)</v>
      </c>
      <c r="H1629" s="0" t="s">
        <v>1053</v>
      </c>
    </row>
    <row r="1630" customFormat="false" ht="12.8" hidden="false" customHeight="false" outlineLevel="0" collapsed="false">
      <c r="A1630" s="1" t="s">
        <v>569</v>
      </c>
      <c r="C1630" s="3" t="s">
        <v>710</v>
      </c>
      <c r="D1630" s="4" t="s">
        <v>571</v>
      </c>
      <c r="F1630" s="6" t="s">
        <v>711</v>
      </c>
      <c r="G1630" s="7" t="str">
        <f aca="false">HYPERLINK(CONCATENATE("http://crfop.gdos.gov.pl/CRFOP/widok/viewpomnikprzyrody.jsf?fop=","PL.ZIPOP.1393.PP.1020092.457"),"(kliknij lub Ctrl+kliknij)")</f>
        <v>(kliknij lub Ctrl+kliknij)</v>
      </c>
      <c r="H1630" s="0" t="s">
        <v>1053</v>
      </c>
    </row>
    <row r="1631" customFormat="false" ht="12.8" hidden="false" customHeight="false" outlineLevel="0" collapsed="false">
      <c r="A1631" s="1" t="s">
        <v>569</v>
      </c>
      <c r="C1631" s="3" t="s">
        <v>710</v>
      </c>
      <c r="D1631" s="4" t="s">
        <v>571</v>
      </c>
      <c r="F1631" s="6" t="s">
        <v>711</v>
      </c>
      <c r="G1631" s="7" t="str">
        <f aca="false">HYPERLINK(CONCATENATE("http://crfop.gdos.gov.pl/CRFOP/widok/viewpomnikprzyrody.jsf?fop=","PL.ZIPOP.1393.PP.1020092.458"),"(kliknij lub Ctrl+kliknij)")</f>
        <v>(kliknij lub Ctrl+kliknij)</v>
      </c>
      <c r="H1631" s="0" t="s">
        <v>1053</v>
      </c>
    </row>
    <row r="1632" customFormat="false" ht="12.8" hidden="false" customHeight="false" outlineLevel="0" collapsed="false">
      <c r="A1632" s="1" t="s">
        <v>569</v>
      </c>
      <c r="C1632" s="3" t="s">
        <v>710</v>
      </c>
      <c r="D1632" s="4" t="s">
        <v>571</v>
      </c>
      <c r="F1632" s="6" t="s">
        <v>711</v>
      </c>
      <c r="G1632" s="7" t="str">
        <f aca="false">HYPERLINK(CONCATENATE("http://crfop.gdos.gov.pl/CRFOP/widok/viewpomnikprzyrody.jsf?fop=","PL.ZIPOP.1393.PP.1020092.460"),"(kliknij lub Ctrl+kliknij)")</f>
        <v>(kliknij lub Ctrl+kliknij)</v>
      </c>
      <c r="H1632" s="0" t="s">
        <v>1053</v>
      </c>
    </row>
    <row r="1633" customFormat="false" ht="12.8" hidden="false" customHeight="false" outlineLevel="0" collapsed="false">
      <c r="A1633" s="1" t="s">
        <v>569</v>
      </c>
      <c r="C1633" s="3" t="s">
        <v>710</v>
      </c>
      <c r="D1633" s="4" t="s">
        <v>571</v>
      </c>
      <c r="F1633" s="6" t="s">
        <v>711</v>
      </c>
      <c r="G1633" s="7" t="str">
        <f aca="false">HYPERLINK(CONCATENATE("http://crfop.gdos.gov.pl/CRFOP/widok/viewpomnikprzyrody.jsf?fop=","PL.ZIPOP.1393.PP.1020092.461"),"(kliknij lub Ctrl+kliknij)")</f>
        <v>(kliknij lub Ctrl+kliknij)</v>
      </c>
      <c r="H1633" s="0" t="s">
        <v>1053</v>
      </c>
    </row>
    <row r="1634" customFormat="false" ht="12.8" hidden="false" customHeight="false" outlineLevel="0" collapsed="false">
      <c r="A1634" s="1" t="s">
        <v>569</v>
      </c>
      <c r="C1634" s="3" t="s">
        <v>710</v>
      </c>
      <c r="D1634" s="4" t="s">
        <v>571</v>
      </c>
      <c r="F1634" s="6" t="s">
        <v>711</v>
      </c>
      <c r="G1634" s="7" t="str">
        <f aca="false">HYPERLINK(CONCATENATE("http://crfop.gdos.gov.pl/CRFOP/widok/viewpomnikprzyrody.jsf?fop=","PL.ZIPOP.1393.PP.1020092.462"),"(kliknij lub Ctrl+kliknij)")</f>
        <v>(kliknij lub Ctrl+kliknij)</v>
      </c>
      <c r="H1634" s="0" t="s">
        <v>1053</v>
      </c>
    </row>
    <row r="1635" customFormat="false" ht="12.8" hidden="false" customHeight="false" outlineLevel="0" collapsed="false">
      <c r="A1635" s="1" t="s">
        <v>569</v>
      </c>
      <c r="C1635" s="3" t="s">
        <v>1054</v>
      </c>
      <c r="D1635" s="4" t="s">
        <v>571</v>
      </c>
      <c r="F1635" s="6" t="s">
        <v>1055</v>
      </c>
      <c r="G1635" s="7" t="str">
        <f aca="false">HYPERLINK(CONCATENATE("http://crfop.gdos.gov.pl/CRFOP/widok/viewpomnikprzyrody.jsf?fop=","PL.ZIPOP.1393.PP.1020092.463"),"(kliknij lub Ctrl+kliknij)")</f>
        <v>(kliknij lub Ctrl+kliknij)</v>
      </c>
      <c r="H1635" s="0" t="s">
        <v>1053</v>
      </c>
    </row>
    <row r="1636" customFormat="false" ht="12.8" hidden="false" customHeight="false" outlineLevel="0" collapsed="false">
      <c r="A1636" s="1" t="s">
        <v>569</v>
      </c>
      <c r="C1636" s="3" t="s">
        <v>1054</v>
      </c>
      <c r="D1636" s="4" t="s">
        <v>571</v>
      </c>
      <c r="F1636" s="6" t="s">
        <v>1055</v>
      </c>
      <c r="G1636" s="7" t="str">
        <f aca="false">HYPERLINK(CONCATENATE("http://crfop.gdos.gov.pl/CRFOP/widok/viewpomnikprzyrody.jsf?fop=","PL.ZIPOP.1393.PP.1020092.464"),"(kliknij lub Ctrl+kliknij)")</f>
        <v>(kliknij lub Ctrl+kliknij)</v>
      </c>
      <c r="H1636" s="0" t="s">
        <v>1053</v>
      </c>
    </row>
    <row r="1637" customFormat="false" ht="12.8" hidden="false" customHeight="false" outlineLevel="0" collapsed="false">
      <c r="A1637" s="1" t="s">
        <v>569</v>
      </c>
      <c r="C1637" s="3" t="s">
        <v>1054</v>
      </c>
      <c r="D1637" s="4" t="s">
        <v>571</v>
      </c>
      <c r="F1637" s="6" t="s">
        <v>1055</v>
      </c>
      <c r="G1637" s="7" t="str">
        <f aca="false">HYPERLINK(CONCATENATE("http://crfop.gdos.gov.pl/CRFOP/widok/viewpomnikprzyrody.jsf?fop=","PL.ZIPOP.1393.PP.1020092.465"),"(kliknij lub Ctrl+kliknij)")</f>
        <v>(kliknij lub Ctrl+kliknij)</v>
      </c>
      <c r="H1637" s="0" t="s">
        <v>1053</v>
      </c>
    </row>
    <row r="1638" customFormat="false" ht="12.8" hidden="false" customHeight="false" outlineLevel="0" collapsed="false">
      <c r="A1638" s="1" t="s">
        <v>569</v>
      </c>
      <c r="C1638" s="3" t="s">
        <v>1054</v>
      </c>
      <c r="D1638" s="4" t="s">
        <v>571</v>
      </c>
      <c r="F1638" s="6" t="s">
        <v>1055</v>
      </c>
      <c r="G1638" s="7" t="str">
        <f aca="false">HYPERLINK(CONCATENATE("http://crfop.gdos.gov.pl/CRFOP/widok/viewpomnikprzyrody.jsf?fop=","PL.ZIPOP.1393.PP.1020092.466"),"(kliknij lub Ctrl+kliknij)")</f>
        <v>(kliknij lub Ctrl+kliknij)</v>
      </c>
      <c r="H1638" s="0" t="s">
        <v>1053</v>
      </c>
    </row>
    <row r="1639" customFormat="false" ht="12.8" hidden="false" customHeight="false" outlineLevel="0" collapsed="false">
      <c r="A1639" s="1" t="s">
        <v>569</v>
      </c>
      <c r="C1639" s="3" t="s">
        <v>1054</v>
      </c>
      <c r="D1639" s="4" t="s">
        <v>571</v>
      </c>
      <c r="F1639" s="6" t="s">
        <v>1055</v>
      </c>
      <c r="G1639" s="7" t="str">
        <f aca="false">HYPERLINK(CONCATENATE("http://crfop.gdos.gov.pl/CRFOP/widok/viewpomnikprzyrody.jsf?fop=","PL.ZIPOP.1393.PP.1020092.467"),"(kliknij lub Ctrl+kliknij)")</f>
        <v>(kliknij lub Ctrl+kliknij)</v>
      </c>
      <c r="H1639" s="0" t="s">
        <v>1053</v>
      </c>
    </row>
    <row r="1640" customFormat="false" ht="12.8" hidden="false" customHeight="false" outlineLevel="0" collapsed="false">
      <c r="A1640" s="1" t="s">
        <v>569</v>
      </c>
      <c r="C1640" s="3" t="s">
        <v>1054</v>
      </c>
      <c r="D1640" s="4" t="s">
        <v>571</v>
      </c>
      <c r="F1640" s="6" t="s">
        <v>1055</v>
      </c>
      <c r="G1640" s="7" t="str">
        <f aca="false">HYPERLINK(CONCATENATE("http://crfop.gdos.gov.pl/CRFOP/widok/viewpomnikprzyrody.jsf?fop=","PL.ZIPOP.1393.PP.1020092.468"),"(kliknij lub Ctrl+kliknij)")</f>
        <v>(kliknij lub Ctrl+kliknij)</v>
      </c>
      <c r="H1640" s="0" t="s">
        <v>1053</v>
      </c>
    </row>
    <row r="1641" customFormat="false" ht="12.8" hidden="false" customHeight="false" outlineLevel="0" collapsed="false">
      <c r="A1641" s="1" t="s">
        <v>569</v>
      </c>
      <c r="C1641" s="3" t="s">
        <v>1054</v>
      </c>
      <c r="D1641" s="4" t="s">
        <v>571</v>
      </c>
      <c r="F1641" s="6" t="s">
        <v>1055</v>
      </c>
      <c r="G1641" s="7" t="str">
        <f aca="false">HYPERLINK(CONCATENATE("http://crfop.gdos.gov.pl/CRFOP/widok/viewpomnikprzyrody.jsf?fop=","PL.ZIPOP.1393.PP.1020092.469"),"(kliknij lub Ctrl+kliknij)")</f>
        <v>(kliknij lub Ctrl+kliknij)</v>
      </c>
      <c r="H1641" s="0" t="s">
        <v>1053</v>
      </c>
    </row>
    <row r="1642" customFormat="false" ht="12.8" hidden="false" customHeight="false" outlineLevel="0" collapsed="false">
      <c r="A1642" s="1" t="s">
        <v>569</v>
      </c>
      <c r="C1642" s="3" t="s">
        <v>1054</v>
      </c>
      <c r="D1642" s="4" t="s">
        <v>571</v>
      </c>
      <c r="F1642" s="6" t="s">
        <v>1055</v>
      </c>
      <c r="G1642" s="7" t="str">
        <f aca="false">HYPERLINK(CONCATENATE("http://crfop.gdos.gov.pl/CRFOP/widok/viewpomnikprzyrody.jsf?fop=","PL.ZIPOP.1393.PP.1020092.470"),"(kliknij lub Ctrl+kliknij)")</f>
        <v>(kliknij lub Ctrl+kliknij)</v>
      </c>
      <c r="H1642" s="0" t="s">
        <v>1053</v>
      </c>
    </row>
    <row r="1643" customFormat="false" ht="12.8" hidden="false" customHeight="false" outlineLevel="0" collapsed="false">
      <c r="A1643" s="1" t="s">
        <v>569</v>
      </c>
      <c r="C1643" s="3" t="s">
        <v>1054</v>
      </c>
      <c r="D1643" s="4" t="s">
        <v>571</v>
      </c>
      <c r="F1643" s="6" t="s">
        <v>1055</v>
      </c>
      <c r="G1643" s="7" t="str">
        <f aca="false">HYPERLINK(CONCATENATE("http://crfop.gdos.gov.pl/CRFOP/widok/viewpomnikprzyrody.jsf?fop=","PL.ZIPOP.1393.PP.1020092.471"),"(kliknij lub Ctrl+kliknij)")</f>
        <v>(kliknij lub Ctrl+kliknij)</v>
      </c>
      <c r="H1643" s="0" t="s">
        <v>1053</v>
      </c>
    </row>
    <row r="1644" customFormat="false" ht="12.8" hidden="false" customHeight="false" outlineLevel="0" collapsed="false">
      <c r="A1644" s="1" t="s">
        <v>569</v>
      </c>
      <c r="C1644" s="3" t="s">
        <v>1056</v>
      </c>
      <c r="D1644" s="4" t="s">
        <v>571</v>
      </c>
      <c r="F1644" s="6" t="s">
        <v>1057</v>
      </c>
      <c r="G1644" s="7" t="str">
        <f aca="false">HYPERLINK(CONCATENATE("http://crfop.gdos.gov.pl/CRFOP/widok/viewpomnikprzyrody.jsf?fop=","PL.ZIPOP.1393.PP.1020092.473"),"(kliknij lub Ctrl+kliknij)")</f>
        <v>(kliknij lub Ctrl+kliknij)</v>
      </c>
      <c r="H1644" s="0" t="s">
        <v>1053</v>
      </c>
    </row>
    <row r="1645" customFormat="false" ht="12.8" hidden="false" customHeight="false" outlineLevel="0" collapsed="false">
      <c r="A1645" s="1" t="s">
        <v>569</v>
      </c>
      <c r="C1645" s="3" t="s">
        <v>1056</v>
      </c>
      <c r="D1645" s="4" t="s">
        <v>571</v>
      </c>
      <c r="F1645" s="6" t="s">
        <v>1057</v>
      </c>
      <c r="G1645" s="7" t="str">
        <f aca="false">HYPERLINK(CONCATENATE("http://crfop.gdos.gov.pl/CRFOP/widok/viewpomnikprzyrody.jsf?fop=","PL.ZIPOP.1393.PP.1020092.474"),"(kliknij lub Ctrl+kliknij)")</f>
        <v>(kliknij lub Ctrl+kliknij)</v>
      </c>
      <c r="H1645" s="0" t="s">
        <v>1053</v>
      </c>
    </row>
    <row r="1646" customFormat="false" ht="12.8" hidden="false" customHeight="false" outlineLevel="0" collapsed="false">
      <c r="A1646" s="1" t="s">
        <v>569</v>
      </c>
      <c r="C1646" s="3" t="s">
        <v>1056</v>
      </c>
      <c r="D1646" s="4" t="s">
        <v>571</v>
      </c>
      <c r="F1646" s="6" t="s">
        <v>1057</v>
      </c>
      <c r="G1646" s="7" t="str">
        <f aca="false">HYPERLINK(CONCATENATE("http://crfop.gdos.gov.pl/CRFOP/widok/viewpomnikprzyrody.jsf?fop=","PL.ZIPOP.1393.PP.1020092.475"),"(kliknij lub Ctrl+kliknij)")</f>
        <v>(kliknij lub Ctrl+kliknij)</v>
      </c>
      <c r="H1646" s="0" t="s">
        <v>1053</v>
      </c>
    </row>
    <row r="1647" customFormat="false" ht="12.8" hidden="false" customHeight="false" outlineLevel="0" collapsed="false">
      <c r="A1647" s="1" t="s">
        <v>569</v>
      </c>
      <c r="C1647" s="3" t="s">
        <v>1056</v>
      </c>
      <c r="D1647" s="4" t="s">
        <v>571</v>
      </c>
      <c r="F1647" s="6" t="s">
        <v>1057</v>
      </c>
      <c r="G1647" s="7" t="str">
        <f aca="false">HYPERLINK(CONCATENATE("http://crfop.gdos.gov.pl/CRFOP/widok/viewpomnikprzyrody.jsf?fop=","PL.ZIPOP.1393.PP.1020092.476"),"(kliknij lub Ctrl+kliknij)")</f>
        <v>(kliknij lub Ctrl+kliknij)</v>
      </c>
      <c r="H1647" s="0" t="s">
        <v>1053</v>
      </c>
    </row>
    <row r="1648" customFormat="false" ht="12.8" hidden="false" customHeight="false" outlineLevel="0" collapsed="false">
      <c r="A1648" s="1" t="s">
        <v>569</v>
      </c>
      <c r="C1648" s="3" t="s">
        <v>1056</v>
      </c>
      <c r="D1648" s="4" t="s">
        <v>571</v>
      </c>
      <c r="F1648" s="6" t="s">
        <v>1057</v>
      </c>
      <c r="G1648" s="7" t="str">
        <f aca="false">HYPERLINK(CONCATENATE("http://crfop.gdos.gov.pl/CRFOP/widok/viewpomnikprzyrody.jsf?fop=","PL.ZIPOP.1393.PP.1020092.477"),"(kliknij lub Ctrl+kliknij)")</f>
        <v>(kliknij lub Ctrl+kliknij)</v>
      </c>
      <c r="H1648" s="0" t="s">
        <v>1053</v>
      </c>
    </row>
    <row r="1649" customFormat="false" ht="12.8" hidden="false" customHeight="false" outlineLevel="0" collapsed="false">
      <c r="A1649" s="1" t="s">
        <v>569</v>
      </c>
      <c r="C1649" s="3" t="s">
        <v>1056</v>
      </c>
      <c r="D1649" s="4" t="s">
        <v>571</v>
      </c>
      <c r="F1649" s="6" t="s">
        <v>1057</v>
      </c>
      <c r="G1649" s="7" t="str">
        <f aca="false">HYPERLINK(CONCATENATE("http://crfop.gdos.gov.pl/CRFOP/widok/viewpomnikprzyrody.jsf?fop=","PL.ZIPOP.1393.PP.1020092.478"),"(kliknij lub Ctrl+kliknij)")</f>
        <v>(kliknij lub Ctrl+kliknij)</v>
      </c>
      <c r="H1649" s="0" t="s">
        <v>1053</v>
      </c>
    </row>
    <row r="1650" customFormat="false" ht="12.8" hidden="false" customHeight="false" outlineLevel="0" collapsed="false">
      <c r="A1650" s="1" t="s">
        <v>569</v>
      </c>
      <c r="C1650" s="3" t="s">
        <v>1056</v>
      </c>
      <c r="D1650" s="4" t="s">
        <v>571</v>
      </c>
      <c r="F1650" s="6" t="s">
        <v>1057</v>
      </c>
      <c r="G1650" s="7" t="str">
        <f aca="false">HYPERLINK(CONCATENATE("http://crfop.gdos.gov.pl/CRFOP/widok/viewpomnikprzyrody.jsf?fop=","PL.ZIPOP.1393.PP.1020092.479"),"(kliknij lub Ctrl+kliknij)")</f>
        <v>(kliknij lub Ctrl+kliknij)</v>
      </c>
      <c r="H1650" s="0" t="s">
        <v>1053</v>
      </c>
    </row>
    <row r="1651" customFormat="false" ht="12.8" hidden="false" customHeight="false" outlineLevel="0" collapsed="false">
      <c r="A1651" s="1" t="s">
        <v>569</v>
      </c>
      <c r="C1651" s="3" t="s">
        <v>1056</v>
      </c>
      <c r="D1651" s="4" t="s">
        <v>571</v>
      </c>
      <c r="F1651" s="6" t="s">
        <v>1057</v>
      </c>
      <c r="G1651" s="7" t="str">
        <f aca="false">HYPERLINK(CONCATENATE("http://crfop.gdos.gov.pl/CRFOP/widok/viewpomnikprzyrody.jsf?fop=","PL.ZIPOP.1393.PP.1020092.480"),"(kliknij lub Ctrl+kliknij)")</f>
        <v>(kliknij lub Ctrl+kliknij)</v>
      </c>
      <c r="H1651" s="0" t="s">
        <v>1053</v>
      </c>
    </row>
    <row r="1652" customFormat="false" ht="12.8" hidden="false" customHeight="false" outlineLevel="0" collapsed="false">
      <c r="A1652" s="1" t="s">
        <v>569</v>
      </c>
      <c r="C1652" s="3" t="s">
        <v>1056</v>
      </c>
      <c r="D1652" s="4" t="s">
        <v>571</v>
      </c>
      <c r="F1652" s="6" t="s">
        <v>1057</v>
      </c>
      <c r="G1652" s="7" t="str">
        <f aca="false">HYPERLINK(CONCATENATE("http://crfop.gdos.gov.pl/CRFOP/widok/viewpomnikprzyrody.jsf?fop=","PL.ZIPOP.1393.PP.1020092.481"),"(kliknij lub Ctrl+kliknij)")</f>
        <v>(kliknij lub Ctrl+kliknij)</v>
      </c>
      <c r="H1652" s="0" t="s">
        <v>1053</v>
      </c>
    </row>
    <row r="1653" customFormat="false" ht="12.8" hidden="false" customHeight="false" outlineLevel="0" collapsed="false">
      <c r="A1653" s="1" t="s">
        <v>569</v>
      </c>
      <c r="C1653" s="3" t="s">
        <v>1056</v>
      </c>
      <c r="D1653" s="4" t="s">
        <v>571</v>
      </c>
      <c r="F1653" s="6" t="s">
        <v>1057</v>
      </c>
      <c r="G1653" s="7" t="str">
        <f aca="false">HYPERLINK(CONCATENATE("http://crfop.gdos.gov.pl/CRFOP/widok/viewpomnikprzyrody.jsf?fop=","PL.ZIPOP.1393.PP.1020092.482"),"(kliknij lub Ctrl+kliknij)")</f>
        <v>(kliknij lub Ctrl+kliknij)</v>
      </c>
      <c r="H1653" s="0" t="s">
        <v>1053</v>
      </c>
    </row>
    <row r="1654" customFormat="false" ht="12.8" hidden="false" customHeight="false" outlineLevel="0" collapsed="false">
      <c r="A1654" s="1" t="s">
        <v>569</v>
      </c>
      <c r="C1654" s="3" t="s">
        <v>1056</v>
      </c>
      <c r="D1654" s="4" t="s">
        <v>571</v>
      </c>
      <c r="F1654" s="6" t="s">
        <v>1057</v>
      </c>
      <c r="G1654" s="7" t="str">
        <f aca="false">HYPERLINK(CONCATENATE("http://crfop.gdos.gov.pl/CRFOP/widok/viewpomnikprzyrody.jsf?fop=","PL.ZIPOP.1393.PP.1020092.483"),"(kliknij lub Ctrl+kliknij)")</f>
        <v>(kliknij lub Ctrl+kliknij)</v>
      </c>
      <c r="H1654" s="0" t="s">
        <v>1053</v>
      </c>
    </row>
    <row r="1655" customFormat="false" ht="12.8" hidden="false" customHeight="false" outlineLevel="0" collapsed="false">
      <c r="A1655" s="1" t="s">
        <v>569</v>
      </c>
      <c r="C1655" s="3" t="s">
        <v>1056</v>
      </c>
      <c r="D1655" s="4" t="s">
        <v>571</v>
      </c>
      <c r="F1655" s="6" t="s">
        <v>1057</v>
      </c>
      <c r="G1655" s="7" t="str">
        <f aca="false">HYPERLINK(CONCATENATE("http://crfop.gdos.gov.pl/CRFOP/widok/viewpomnikprzyrody.jsf?fop=","PL.ZIPOP.1393.PP.1020092.484"),"(kliknij lub Ctrl+kliknij)")</f>
        <v>(kliknij lub Ctrl+kliknij)</v>
      </c>
      <c r="H1655" s="0" t="s">
        <v>1053</v>
      </c>
    </row>
    <row r="1656" customFormat="false" ht="12.8" hidden="false" customHeight="false" outlineLevel="0" collapsed="false">
      <c r="A1656" s="1" t="s">
        <v>569</v>
      </c>
      <c r="C1656" s="3" t="s">
        <v>1056</v>
      </c>
      <c r="D1656" s="4" t="s">
        <v>571</v>
      </c>
      <c r="F1656" s="6" t="s">
        <v>1057</v>
      </c>
      <c r="G1656" s="7" t="str">
        <f aca="false">HYPERLINK(CONCATENATE("http://crfop.gdos.gov.pl/CRFOP/widok/viewpomnikprzyrody.jsf?fop=","PL.ZIPOP.1393.PP.1020092.485"),"(kliknij lub Ctrl+kliknij)")</f>
        <v>(kliknij lub Ctrl+kliknij)</v>
      </c>
      <c r="H1656" s="0" t="s">
        <v>1053</v>
      </c>
    </row>
    <row r="1657" customFormat="false" ht="12.8" hidden="false" customHeight="false" outlineLevel="0" collapsed="false">
      <c r="A1657" s="1" t="s">
        <v>569</v>
      </c>
      <c r="C1657" s="3" t="s">
        <v>1056</v>
      </c>
      <c r="D1657" s="4" t="s">
        <v>571</v>
      </c>
      <c r="F1657" s="6" t="s">
        <v>1057</v>
      </c>
      <c r="G1657" s="7" t="str">
        <f aca="false">HYPERLINK(CONCATENATE("http://crfop.gdos.gov.pl/CRFOP/widok/viewpomnikprzyrody.jsf?fop=","PL.ZIPOP.1393.PP.1020092.486"),"(kliknij lub Ctrl+kliknij)")</f>
        <v>(kliknij lub Ctrl+kliknij)</v>
      </c>
      <c r="H1657" s="0" t="s">
        <v>1053</v>
      </c>
    </row>
    <row r="1658" customFormat="false" ht="12.8" hidden="false" customHeight="false" outlineLevel="0" collapsed="false">
      <c r="A1658" s="1" t="s">
        <v>569</v>
      </c>
      <c r="C1658" s="3" t="s">
        <v>1056</v>
      </c>
      <c r="D1658" s="4" t="s">
        <v>571</v>
      </c>
      <c r="F1658" s="6" t="s">
        <v>1057</v>
      </c>
      <c r="G1658" s="7" t="str">
        <f aca="false">HYPERLINK(CONCATENATE("http://crfop.gdos.gov.pl/CRFOP/widok/viewpomnikprzyrody.jsf?fop=","PL.ZIPOP.1393.PP.1020092.487"),"(kliknij lub Ctrl+kliknij)")</f>
        <v>(kliknij lub Ctrl+kliknij)</v>
      </c>
      <c r="H1658" s="0" t="s">
        <v>1053</v>
      </c>
    </row>
    <row r="1659" customFormat="false" ht="12.8" hidden="false" customHeight="false" outlineLevel="0" collapsed="false">
      <c r="A1659" s="1" t="s">
        <v>569</v>
      </c>
      <c r="C1659" s="3" t="s">
        <v>1056</v>
      </c>
      <c r="D1659" s="4" t="s">
        <v>571</v>
      </c>
      <c r="F1659" s="6" t="s">
        <v>1057</v>
      </c>
      <c r="G1659" s="7" t="str">
        <f aca="false">HYPERLINK(CONCATENATE("http://crfop.gdos.gov.pl/CRFOP/widok/viewpomnikprzyrody.jsf?fop=","PL.ZIPOP.1393.PP.1020092.489"),"(kliknij lub Ctrl+kliknij)")</f>
        <v>(kliknij lub Ctrl+kliknij)</v>
      </c>
      <c r="H1659" s="0" t="s">
        <v>1053</v>
      </c>
    </row>
    <row r="1660" customFormat="false" ht="12.8" hidden="false" customHeight="false" outlineLevel="0" collapsed="false">
      <c r="A1660" s="1" t="s">
        <v>569</v>
      </c>
      <c r="C1660" s="3" t="s">
        <v>1056</v>
      </c>
      <c r="D1660" s="4" t="s">
        <v>571</v>
      </c>
      <c r="F1660" s="6" t="s">
        <v>1057</v>
      </c>
      <c r="G1660" s="7" t="str">
        <f aca="false">HYPERLINK(CONCATENATE("http://crfop.gdos.gov.pl/CRFOP/widok/viewpomnikprzyrody.jsf?fop=","PL.ZIPOP.1393.PP.1020092.490"),"(kliknij lub Ctrl+kliknij)")</f>
        <v>(kliknij lub Ctrl+kliknij)</v>
      </c>
      <c r="H1660" s="0" t="s">
        <v>1053</v>
      </c>
    </row>
    <row r="1661" customFormat="false" ht="12.8" hidden="false" customHeight="false" outlineLevel="0" collapsed="false">
      <c r="A1661" s="1" t="s">
        <v>569</v>
      </c>
      <c r="C1661" s="3" t="s">
        <v>1056</v>
      </c>
      <c r="D1661" s="4" t="s">
        <v>571</v>
      </c>
      <c r="F1661" s="6" t="s">
        <v>1057</v>
      </c>
      <c r="G1661" s="7" t="str">
        <f aca="false">HYPERLINK(CONCATENATE("http://crfop.gdos.gov.pl/CRFOP/widok/viewpomnikprzyrody.jsf?fop=","PL.ZIPOP.1393.PP.1020092.491"),"(kliknij lub Ctrl+kliknij)")</f>
        <v>(kliknij lub Ctrl+kliknij)</v>
      </c>
      <c r="H1661" s="0" t="s">
        <v>1053</v>
      </c>
    </row>
    <row r="1662" customFormat="false" ht="12.8" hidden="false" customHeight="false" outlineLevel="0" collapsed="false">
      <c r="A1662" s="1" t="s">
        <v>569</v>
      </c>
      <c r="C1662" s="3" t="s">
        <v>684</v>
      </c>
      <c r="D1662" s="4" t="s">
        <v>571</v>
      </c>
      <c r="F1662" s="6" t="s">
        <v>685</v>
      </c>
      <c r="G1662" s="7" t="str">
        <f aca="false">HYPERLINK(CONCATENATE("http://crfop.gdos.gov.pl/CRFOP/widok/viewpomnikprzyrody.jsf?fop=","PL.ZIPOP.1393.PP.1021011.846"),"(kliknij lub Ctrl+kliknij)")</f>
        <v>(kliknij lub Ctrl+kliknij)</v>
      </c>
      <c r="H1662" s="0" t="s">
        <v>1058</v>
      </c>
    </row>
    <row r="1663" customFormat="false" ht="12.8" hidden="false" customHeight="false" outlineLevel="0" collapsed="false">
      <c r="A1663" s="1" t="s">
        <v>569</v>
      </c>
      <c r="C1663" s="3" t="s">
        <v>702</v>
      </c>
      <c r="D1663" s="4" t="s">
        <v>571</v>
      </c>
      <c r="F1663" s="6" t="s">
        <v>703</v>
      </c>
      <c r="G1663" s="7" t="str">
        <f aca="false">HYPERLINK(CONCATENATE("http://crfop.gdos.gov.pl/CRFOP/widok/viewpomnikprzyrody.jsf?fop=","PL.ZIPOP.1393.PP.1021011.847"),"(kliknij lub Ctrl+kliknij)")</f>
        <v>(kliknij lub Ctrl+kliknij)</v>
      </c>
      <c r="H1663" s="0" t="s">
        <v>1058</v>
      </c>
    </row>
    <row r="1664" customFormat="false" ht="12.8" hidden="false" customHeight="false" outlineLevel="0" collapsed="false">
      <c r="A1664" s="1" t="s">
        <v>569</v>
      </c>
      <c r="C1664" s="3" t="s">
        <v>684</v>
      </c>
      <c r="D1664" s="4" t="s">
        <v>571</v>
      </c>
      <c r="F1664" s="6" t="s">
        <v>685</v>
      </c>
      <c r="G1664" s="7" t="str">
        <f aca="false">HYPERLINK(CONCATENATE("http://crfop.gdos.gov.pl/CRFOP/widok/viewpomnikprzyrody.jsf?fop=","PL.ZIPOP.1393.PP.1021011.848"),"(kliknij lub Ctrl+kliknij)")</f>
        <v>(kliknij lub Ctrl+kliknij)</v>
      </c>
      <c r="H1664" s="0" t="s">
        <v>1058</v>
      </c>
    </row>
    <row r="1665" customFormat="false" ht="12.8" hidden="false" customHeight="false" outlineLevel="0" collapsed="false">
      <c r="A1665" s="1" t="s">
        <v>569</v>
      </c>
      <c r="C1665" s="3" t="s">
        <v>684</v>
      </c>
      <c r="D1665" s="4" t="s">
        <v>571</v>
      </c>
      <c r="F1665" s="6" t="s">
        <v>685</v>
      </c>
      <c r="G1665" s="7" t="str">
        <f aca="false">HYPERLINK(CONCATENATE("http://crfop.gdos.gov.pl/CRFOP/widok/viewpomnikprzyrody.jsf?fop=","PL.ZIPOP.1393.PP.1021011.849"),"(kliknij lub Ctrl+kliknij)")</f>
        <v>(kliknij lub Ctrl+kliknij)</v>
      </c>
      <c r="H1665" s="0" t="s">
        <v>1058</v>
      </c>
    </row>
    <row r="1666" customFormat="false" ht="12.8" hidden="false" customHeight="false" outlineLevel="0" collapsed="false">
      <c r="A1666" s="1" t="s">
        <v>569</v>
      </c>
      <c r="C1666" s="3" t="s">
        <v>1059</v>
      </c>
      <c r="D1666" s="4" t="s">
        <v>571</v>
      </c>
      <c r="F1666" s="6" t="s">
        <v>703</v>
      </c>
      <c r="G1666" s="7" t="str">
        <f aca="false">HYPERLINK(CONCATENATE("http://crfop.gdos.gov.pl/CRFOP/widok/viewpomnikprzyrody.jsf?fop=","PL.ZIPOP.1393.PP.1021011.850"),"(kliknij lub Ctrl+kliknij)")</f>
        <v>(kliknij lub Ctrl+kliknij)</v>
      </c>
      <c r="H1666" s="0" t="s">
        <v>1058</v>
      </c>
    </row>
    <row r="1667" customFormat="false" ht="12.8" hidden="false" customHeight="false" outlineLevel="0" collapsed="false">
      <c r="A1667" s="1" t="s">
        <v>569</v>
      </c>
      <c r="C1667" s="3" t="s">
        <v>821</v>
      </c>
      <c r="D1667" s="4" t="s">
        <v>571</v>
      </c>
      <c r="F1667" s="6" t="s">
        <v>822</v>
      </c>
      <c r="G1667" s="7" t="str">
        <f aca="false">HYPERLINK(CONCATENATE("http://crfop.gdos.gov.pl/CRFOP/widok/viewpomnikprzyrody.jsf?fop=","PL.ZIPOP.1393.PP.1021022.841"),"(kliknij lub Ctrl+kliknij)")</f>
        <v>(kliknij lub Ctrl+kliknij)</v>
      </c>
      <c r="H1667" s="0" t="s">
        <v>1058</v>
      </c>
    </row>
    <row r="1668" customFormat="false" ht="12.8" hidden="false" customHeight="false" outlineLevel="0" collapsed="false">
      <c r="A1668" s="1" t="s">
        <v>569</v>
      </c>
      <c r="B1668" s="2" t="s">
        <v>812</v>
      </c>
      <c r="C1668" s="3" t="s">
        <v>1060</v>
      </c>
      <c r="D1668" s="4" t="s">
        <v>571</v>
      </c>
      <c r="F1668" s="6" t="s">
        <v>1061</v>
      </c>
      <c r="G1668" s="7" t="str">
        <f aca="false">HYPERLINK(CONCATENATE("http://crfop.gdos.gov.pl/CRFOP/widok/viewpomnikprzyrody.jsf?fop=","PL.ZIPOP.1393.PP.1021022.842"),"(kliknij lub Ctrl+kliknij)")</f>
        <v>(kliknij lub Ctrl+kliknij)</v>
      </c>
      <c r="H1668" s="0" t="s">
        <v>1058</v>
      </c>
    </row>
    <row r="1669" customFormat="false" ht="12.8" hidden="false" customHeight="false" outlineLevel="0" collapsed="false">
      <c r="A1669" s="1" t="s">
        <v>569</v>
      </c>
      <c r="B1669" s="2" t="s">
        <v>1012</v>
      </c>
      <c r="C1669" s="3" t="s">
        <v>1060</v>
      </c>
      <c r="D1669" s="4" t="s">
        <v>571</v>
      </c>
      <c r="F1669" s="6" t="s">
        <v>1061</v>
      </c>
      <c r="G1669" s="7" t="str">
        <f aca="false">HYPERLINK(CONCATENATE("http://crfop.gdos.gov.pl/CRFOP/widok/viewpomnikprzyrody.jsf?fop=","PL.ZIPOP.1393.PP.1021022.843"),"(kliknij lub Ctrl+kliknij)")</f>
        <v>(kliknij lub Ctrl+kliknij)</v>
      </c>
      <c r="H1669" s="0" t="s">
        <v>1058</v>
      </c>
    </row>
    <row r="1670" customFormat="false" ht="12.8" hidden="false" customHeight="false" outlineLevel="0" collapsed="false">
      <c r="A1670" s="1" t="s">
        <v>569</v>
      </c>
      <c r="C1670" s="3" t="s">
        <v>1062</v>
      </c>
      <c r="D1670" s="4" t="s">
        <v>571</v>
      </c>
      <c r="F1670" s="6" t="s">
        <v>1063</v>
      </c>
      <c r="G1670" s="7" t="str">
        <f aca="false">HYPERLINK(CONCATENATE("http://crfop.gdos.gov.pl/CRFOP/widok/viewpomnikprzyrody.jsf?fop=","PL.ZIPOP.1393.PP.1021022.844"),"(kliknij lub Ctrl+kliknij)")</f>
        <v>(kliknij lub Ctrl+kliknij)</v>
      </c>
      <c r="H1670" s="0" t="s">
        <v>1058</v>
      </c>
    </row>
    <row r="1671" customFormat="false" ht="12.8" hidden="false" customHeight="false" outlineLevel="0" collapsed="false">
      <c r="A1671" s="1" t="s">
        <v>569</v>
      </c>
      <c r="C1671" s="3" t="s">
        <v>684</v>
      </c>
      <c r="D1671" s="4" t="s">
        <v>571</v>
      </c>
      <c r="F1671" s="6" t="s">
        <v>685</v>
      </c>
      <c r="G1671" s="7" t="str">
        <f aca="false">HYPERLINK(CONCATENATE("http://crfop.gdos.gov.pl/CRFOP/widok/viewpomnikprzyrody.jsf?fop=","PL.ZIPOP.1393.PP.1021032.794"),"(kliknij lub Ctrl+kliknij)")</f>
        <v>(kliknij lub Ctrl+kliknij)</v>
      </c>
      <c r="H1671" s="0" t="s">
        <v>1064</v>
      </c>
    </row>
    <row r="1672" customFormat="false" ht="12.8" hidden="false" customHeight="false" outlineLevel="0" collapsed="false">
      <c r="A1672" s="1" t="s">
        <v>569</v>
      </c>
      <c r="C1672" s="3" t="s">
        <v>705</v>
      </c>
      <c r="D1672" s="4" t="s">
        <v>571</v>
      </c>
      <c r="F1672" s="6" t="s">
        <v>706</v>
      </c>
      <c r="G1672" s="7" t="str">
        <f aca="false">HYPERLINK(CONCATENATE("http://crfop.gdos.gov.pl/CRFOP/widok/viewpomnikprzyrody.jsf?fop=","PL.ZIPOP.1393.PP.1021032.795"),"(kliknij lub Ctrl+kliknij)")</f>
        <v>(kliknij lub Ctrl+kliknij)</v>
      </c>
      <c r="H1672" s="0" t="s">
        <v>1064</v>
      </c>
    </row>
    <row r="1673" customFormat="false" ht="12.8" hidden="false" customHeight="false" outlineLevel="0" collapsed="false">
      <c r="A1673" s="1" t="s">
        <v>569</v>
      </c>
      <c r="C1673" s="3" t="s">
        <v>705</v>
      </c>
      <c r="D1673" s="4" t="s">
        <v>571</v>
      </c>
      <c r="F1673" s="6" t="s">
        <v>706</v>
      </c>
      <c r="G1673" s="7" t="str">
        <f aca="false">HYPERLINK(CONCATENATE("http://crfop.gdos.gov.pl/CRFOP/widok/viewpomnikprzyrody.jsf?fop=","PL.ZIPOP.1393.PP.1021032.796"),"(kliknij lub Ctrl+kliknij)")</f>
        <v>(kliknij lub Ctrl+kliknij)</v>
      </c>
      <c r="H1673" s="0" t="s">
        <v>1064</v>
      </c>
    </row>
    <row r="1674" customFormat="false" ht="12.8" hidden="false" customHeight="false" outlineLevel="0" collapsed="false">
      <c r="A1674" s="1" t="s">
        <v>569</v>
      </c>
      <c r="C1674" s="3" t="s">
        <v>705</v>
      </c>
      <c r="D1674" s="4" t="s">
        <v>571</v>
      </c>
      <c r="F1674" s="6" t="s">
        <v>706</v>
      </c>
      <c r="G1674" s="7" t="str">
        <f aca="false">HYPERLINK(CONCATENATE("http://crfop.gdos.gov.pl/CRFOP/widok/viewpomnikprzyrody.jsf?fop=","PL.ZIPOP.1393.PP.1021032.797"),"(kliknij lub Ctrl+kliknij)")</f>
        <v>(kliknij lub Ctrl+kliknij)</v>
      </c>
      <c r="H1674" s="0" t="s">
        <v>1064</v>
      </c>
    </row>
    <row r="1675" customFormat="false" ht="12.8" hidden="false" customHeight="false" outlineLevel="0" collapsed="false">
      <c r="A1675" s="1" t="s">
        <v>569</v>
      </c>
      <c r="C1675" s="3" t="s">
        <v>705</v>
      </c>
      <c r="D1675" s="4" t="s">
        <v>571</v>
      </c>
      <c r="F1675" s="6" t="s">
        <v>706</v>
      </c>
      <c r="G1675" s="7" t="str">
        <f aca="false">HYPERLINK(CONCATENATE("http://crfop.gdos.gov.pl/CRFOP/widok/viewpomnikprzyrody.jsf?fop=","PL.ZIPOP.1393.PP.1021032.798"),"(kliknij lub Ctrl+kliknij)")</f>
        <v>(kliknij lub Ctrl+kliknij)</v>
      </c>
      <c r="H1675" s="0" t="s">
        <v>1064</v>
      </c>
    </row>
    <row r="1676" customFormat="false" ht="12.8" hidden="false" customHeight="false" outlineLevel="0" collapsed="false">
      <c r="A1676" s="1" t="s">
        <v>569</v>
      </c>
      <c r="C1676" s="3" t="s">
        <v>705</v>
      </c>
      <c r="D1676" s="4" t="s">
        <v>571</v>
      </c>
      <c r="F1676" s="6" t="s">
        <v>706</v>
      </c>
      <c r="G1676" s="7" t="str">
        <f aca="false">HYPERLINK(CONCATENATE("http://crfop.gdos.gov.pl/CRFOP/widok/viewpomnikprzyrody.jsf?fop=","PL.ZIPOP.1393.PP.1021032.799"),"(kliknij lub Ctrl+kliknij)")</f>
        <v>(kliknij lub Ctrl+kliknij)</v>
      </c>
      <c r="H1676" s="0" t="s">
        <v>1064</v>
      </c>
    </row>
    <row r="1677" customFormat="false" ht="12.8" hidden="false" customHeight="false" outlineLevel="0" collapsed="false">
      <c r="A1677" s="1" t="s">
        <v>569</v>
      </c>
      <c r="C1677" s="3" t="s">
        <v>1065</v>
      </c>
      <c r="D1677" s="4" t="s">
        <v>571</v>
      </c>
      <c r="F1677" s="6" t="s">
        <v>1066</v>
      </c>
      <c r="G1677" s="7" t="str">
        <f aca="false">HYPERLINK(CONCATENATE("http://crfop.gdos.gov.pl/CRFOP/widok/viewpomnikprzyrody.jsf?fop=","PL.ZIPOP.1393.PP.1021032.800"),"(kliknij lub Ctrl+kliknij)")</f>
        <v>(kliknij lub Ctrl+kliknij)</v>
      </c>
      <c r="H1677" s="0" t="s">
        <v>1064</v>
      </c>
    </row>
    <row r="1678" customFormat="false" ht="12.8" hidden="false" customHeight="false" outlineLevel="0" collapsed="false">
      <c r="A1678" s="1" t="s">
        <v>569</v>
      </c>
      <c r="C1678" s="3" t="s">
        <v>825</v>
      </c>
      <c r="D1678" s="4" t="s">
        <v>571</v>
      </c>
      <c r="F1678" s="6" t="s">
        <v>826</v>
      </c>
      <c r="G1678" s="7" t="str">
        <f aca="false">HYPERLINK(CONCATENATE("http://crfop.gdos.gov.pl/CRFOP/widok/viewpomnikprzyrody.jsf?fop=","PL.ZIPOP.1393.PP.1021032.802"),"(kliknij lub Ctrl+kliknij)")</f>
        <v>(kliknij lub Ctrl+kliknij)</v>
      </c>
      <c r="H1678" s="0" t="s">
        <v>1064</v>
      </c>
    </row>
    <row r="1679" customFormat="false" ht="12.8" hidden="false" customHeight="false" outlineLevel="0" collapsed="false">
      <c r="A1679" s="1" t="s">
        <v>569</v>
      </c>
      <c r="C1679" s="3" t="s">
        <v>1067</v>
      </c>
      <c r="D1679" s="4" t="s">
        <v>571</v>
      </c>
      <c r="F1679" s="6" t="s">
        <v>703</v>
      </c>
      <c r="G1679" s="7" t="str">
        <f aca="false">HYPERLINK(CONCATENATE("http://crfop.gdos.gov.pl/CRFOP/widok/viewpomnikprzyrody.jsf?fop=","PL.ZIPOP.1393.PP.1021032.803"),"(kliknij lub Ctrl+kliknij)")</f>
        <v>(kliknij lub Ctrl+kliknij)</v>
      </c>
      <c r="H1679" s="0" t="s">
        <v>1064</v>
      </c>
    </row>
    <row r="1680" customFormat="false" ht="12.8" hidden="false" customHeight="false" outlineLevel="0" collapsed="false">
      <c r="A1680" s="1" t="s">
        <v>569</v>
      </c>
      <c r="C1680" s="3" t="s">
        <v>1067</v>
      </c>
      <c r="D1680" s="4" t="s">
        <v>571</v>
      </c>
      <c r="F1680" s="6" t="s">
        <v>703</v>
      </c>
      <c r="G1680" s="7" t="str">
        <f aca="false">HYPERLINK(CONCATENATE("http://crfop.gdos.gov.pl/CRFOP/widok/viewpomnikprzyrody.jsf?fop=","PL.ZIPOP.1393.PP.1021032.804"),"(kliknij lub Ctrl+kliknij)")</f>
        <v>(kliknij lub Ctrl+kliknij)</v>
      </c>
      <c r="H1680" s="0" t="s">
        <v>1064</v>
      </c>
    </row>
    <row r="1681" customFormat="false" ht="12.8" hidden="false" customHeight="false" outlineLevel="0" collapsed="false">
      <c r="A1681" s="1" t="s">
        <v>569</v>
      </c>
      <c r="C1681" s="3" t="s">
        <v>825</v>
      </c>
      <c r="D1681" s="4" t="s">
        <v>571</v>
      </c>
      <c r="F1681" s="6" t="s">
        <v>826</v>
      </c>
      <c r="G1681" s="7" t="str">
        <f aca="false">HYPERLINK(CONCATENATE("http://crfop.gdos.gov.pl/CRFOP/widok/viewpomnikprzyrody.jsf?fop=","PL.ZIPOP.1393.PP.1021032.805"),"(kliknij lub Ctrl+kliknij)")</f>
        <v>(kliknij lub Ctrl+kliknij)</v>
      </c>
      <c r="H1681" s="0" t="s">
        <v>1064</v>
      </c>
    </row>
    <row r="1682" customFormat="false" ht="12.8" hidden="false" customHeight="false" outlineLevel="0" collapsed="false">
      <c r="A1682" s="1" t="s">
        <v>569</v>
      </c>
      <c r="C1682" s="3" t="s">
        <v>825</v>
      </c>
      <c r="D1682" s="4" t="s">
        <v>571</v>
      </c>
      <c r="F1682" s="6" t="s">
        <v>826</v>
      </c>
      <c r="G1682" s="7" t="str">
        <f aca="false">HYPERLINK(CONCATENATE("http://crfop.gdos.gov.pl/CRFOP/widok/viewpomnikprzyrody.jsf?fop=","PL.ZIPOP.1393.PP.1021032.806"),"(kliknij lub Ctrl+kliknij)")</f>
        <v>(kliknij lub Ctrl+kliknij)</v>
      </c>
      <c r="H1682" s="0" t="s">
        <v>1064</v>
      </c>
    </row>
    <row r="1683" customFormat="false" ht="12.8" hidden="false" customHeight="false" outlineLevel="0" collapsed="false">
      <c r="A1683" s="1" t="s">
        <v>569</v>
      </c>
      <c r="C1683" s="3" t="s">
        <v>1059</v>
      </c>
      <c r="D1683" s="4" t="s">
        <v>571</v>
      </c>
      <c r="F1683" s="6" t="s">
        <v>841</v>
      </c>
      <c r="G1683" s="7" t="str">
        <f aca="false">HYPERLINK(CONCATENATE("http://crfop.gdos.gov.pl/CRFOP/widok/viewpomnikprzyrody.jsf?fop=","PL.ZIPOP.1393.PP.1021042.3020"),"(kliknij lub Ctrl+kliknij)")</f>
        <v>(kliknij lub Ctrl+kliknij)</v>
      </c>
      <c r="H1683" s="0" t="s">
        <v>1068</v>
      </c>
    </row>
    <row r="1684" customFormat="false" ht="12.8" hidden="false" customHeight="false" outlineLevel="0" collapsed="false">
      <c r="A1684" s="1" t="s">
        <v>569</v>
      </c>
      <c r="C1684" s="3" t="s">
        <v>1059</v>
      </c>
      <c r="D1684" s="4" t="s">
        <v>571</v>
      </c>
      <c r="F1684" s="6" t="s">
        <v>841</v>
      </c>
      <c r="G1684" s="7" t="str">
        <f aca="false">HYPERLINK(CONCATENATE("http://crfop.gdos.gov.pl/CRFOP/widok/viewpomnikprzyrody.jsf?fop=","PL.ZIPOP.1393.PP.1021042.778"),"(kliknij lub Ctrl+kliknij)")</f>
        <v>(kliknij lub Ctrl+kliknij)</v>
      </c>
      <c r="H1684" s="0" t="s">
        <v>1068</v>
      </c>
    </row>
    <row r="1685" customFormat="false" ht="12.8" hidden="false" customHeight="false" outlineLevel="0" collapsed="false">
      <c r="A1685" s="1" t="s">
        <v>569</v>
      </c>
      <c r="C1685" s="3" t="s">
        <v>1059</v>
      </c>
      <c r="D1685" s="4" t="s">
        <v>571</v>
      </c>
      <c r="F1685" s="6" t="s">
        <v>841</v>
      </c>
      <c r="G1685" s="7" t="str">
        <f aca="false">HYPERLINK(CONCATENATE("http://crfop.gdos.gov.pl/CRFOP/widok/viewpomnikprzyrody.jsf?fop=","PL.ZIPOP.1393.PP.1021042.779"),"(kliknij lub Ctrl+kliknij)")</f>
        <v>(kliknij lub Ctrl+kliknij)</v>
      </c>
      <c r="H1685" s="0" t="s">
        <v>1068</v>
      </c>
    </row>
    <row r="1686" customFormat="false" ht="12.8" hidden="false" customHeight="false" outlineLevel="0" collapsed="false">
      <c r="A1686" s="1" t="s">
        <v>569</v>
      </c>
      <c r="C1686" s="3" t="s">
        <v>1059</v>
      </c>
      <c r="D1686" s="4" t="s">
        <v>571</v>
      </c>
      <c r="F1686" s="6" t="s">
        <v>841</v>
      </c>
      <c r="G1686" s="7" t="str">
        <f aca="false">HYPERLINK(CONCATENATE("http://crfop.gdos.gov.pl/CRFOP/widok/viewpomnikprzyrody.jsf?fop=","PL.ZIPOP.1393.PP.1021042.780"),"(kliknij lub Ctrl+kliknij)")</f>
        <v>(kliknij lub Ctrl+kliknij)</v>
      </c>
      <c r="H1686" s="0" t="s">
        <v>1068</v>
      </c>
    </row>
    <row r="1687" customFormat="false" ht="12.8" hidden="false" customHeight="false" outlineLevel="0" collapsed="false">
      <c r="A1687" s="1" t="s">
        <v>569</v>
      </c>
      <c r="C1687" s="3" t="s">
        <v>1059</v>
      </c>
      <c r="D1687" s="4" t="s">
        <v>571</v>
      </c>
      <c r="F1687" s="6" t="s">
        <v>841</v>
      </c>
      <c r="G1687" s="7" t="str">
        <f aca="false">HYPERLINK(CONCATENATE("http://crfop.gdos.gov.pl/CRFOP/widok/viewpomnikprzyrody.jsf?fop=","PL.ZIPOP.1393.PP.1021042.781"),"(kliknij lub Ctrl+kliknij)")</f>
        <v>(kliknij lub Ctrl+kliknij)</v>
      </c>
      <c r="H1687" s="0" t="s">
        <v>1068</v>
      </c>
    </row>
    <row r="1688" customFormat="false" ht="12.8" hidden="false" customHeight="false" outlineLevel="0" collapsed="false">
      <c r="A1688" s="1" t="s">
        <v>569</v>
      </c>
      <c r="C1688" s="3" t="s">
        <v>1059</v>
      </c>
      <c r="D1688" s="4" t="s">
        <v>571</v>
      </c>
      <c r="F1688" s="6" t="s">
        <v>841</v>
      </c>
      <c r="G1688" s="7" t="str">
        <f aca="false">HYPERLINK(CONCATENATE("http://crfop.gdos.gov.pl/CRFOP/widok/viewpomnikprzyrody.jsf?fop=","PL.ZIPOP.1393.PP.1021042.782"),"(kliknij lub Ctrl+kliknij)")</f>
        <v>(kliknij lub Ctrl+kliknij)</v>
      </c>
      <c r="H1688" s="0" t="s">
        <v>1068</v>
      </c>
    </row>
    <row r="1689" customFormat="false" ht="12.8" hidden="false" customHeight="false" outlineLevel="0" collapsed="false">
      <c r="A1689" s="1" t="s">
        <v>569</v>
      </c>
      <c r="C1689" s="3" t="s">
        <v>1059</v>
      </c>
      <c r="D1689" s="4" t="s">
        <v>571</v>
      </c>
      <c r="F1689" s="6" t="s">
        <v>841</v>
      </c>
      <c r="G1689" s="7" t="str">
        <f aca="false">HYPERLINK(CONCATENATE("http://crfop.gdos.gov.pl/CRFOP/widok/viewpomnikprzyrody.jsf?fop=","PL.ZIPOP.1393.PP.1021042.785"),"(kliknij lub Ctrl+kliknij)")</f>
        <v>(kliknij lub Ctrl+kliknij)</v>
      </c>
      <c r="H1689" s="0" t="s">
        <v>1068</v>
      </c>
    </row>
    <row r="1690" customFormat="false" ht="12.8" hidden="false" customHeight="false" outlineLevel="0" collapsed="false">
      <c r="A1690" s="1" t="s">
        <v>569</v>
      </c>
      <c r="C1690" s="3" t="s">
        <v>1059</v>
      </c>
      <c r="D1690" s="4" t="s">
        <v>571</v>
      </c>
      <c r="F1690" s="6" t="s">
        <v>841</v>
      </c>
      <c r="G1690" s="7" t="str">
        <f aca="false">HYPERLINK(CONCATENATE("http://crfop.gdos.gov.pl/CRFOP/widok/viewpomnikprzyrody.jsf?fop=","PL.ZIPOP.1393.PP.1021042.786"),"(kliknij lub Ctrl+kliknij)")</f>
        <v>(kliknij lub Ctrl+kliknij)</v>
      </c>
      <c r="H1690" s="0" t="s">
        <v>1068</v>
      </c>
    </row>
    <row r="1691" customFormat="false" ht="12.8" hidden="false" customHeight="false" outlineLevel="0" collapsed="false">
      <c r="A1691" s="1" t="s">
        <v>569</v>
      </c>
      <c r="C1691" s="3" t="s">
        <v>1059</v>
      </c>
      <c r="D1691" s="4" t="s">
        <v>571</v>
      </c>
      <c r="F1691" s="6" t="s">
        <v>841</v>
      </c>
      <c r="G1691" s="7" t="str">
        <f aca="false">HYPERLINK(CONCATENATE("http://crfop.gdos.gov.pl/CRFOP/widok/viewpomnikprzyrody.jsf?fop=","PL.ZIPOP.1393.PP.1021042.787"),"(kliknij lub Ctrl+kliknij)")</f>
        <v>(kliknij lub Ctrl+kliknij)</v>
      </c>
      <c r="H1691" s="0" t="s">
        <v>1068</v>
      </c>
    </row>
    <row r="1692" customFormat="false" ht="12.8" hidden="false" customHeight="false" outlineLevel="0" collapsed="false">
      <c r="A1692" s="1" t="s">
        <v>569</v>
      </c>
      <c r="C1692" s="3" t="s">
        <v>1059</v>
      </c>
      <c r="D1692" s="4" t="s">
        <v>571</v>
      </c>
      <c r="F1692" s="6" t="s">
        <v>841</v>
      </c>
      <c r="G1692" s="7" t="str">
        <f aca="false">HYPERLINK(CONCATENATE("http://crfop.gdos.gov.pl/CRFOP/widok/viewpomnikprzyrody.jsf?fop=","PL.ZIPOP.1393.PP.1021042.788"),"(kliknij lub Ctrl+kliknij)")</f>
        <v>(kliknij lub Ctrl+kliknij)</v>
      </c>
      <c r="H1692" s="0" t="s">
        <v>1068</v>
      </c>
    </row>
    <row r="1693" customFormat="false" ht="12.8" hidden="false" customHeight="false" outlineLevel="0" collapsed="false">
      <c r="A1693" s="1" t="s">
        <v>569</v>
      </c>
      <c r="C1693" s="3" t="s">
        <v>1059</v>
      </c>
      <c r="D1693" s="4" t="s">
        <v>571</v>
      </c>
      <c r="F1693" s="6" t="s">
        <v>841</v>
      </c>
      <c r="G1693" s="7" t="str">
        <f aca="false">HYPERLINK(CONCATENATE("http://crfop.gdos.gov.pl/CRFOP/widok/viewpomnikprzyrody.jsf?fop=","PL.ZIPOP.1393.PP.1021042.789"),"(kliknij lub Ctrl+kliknij)")</f>
        <v>(kliknij lub Ctrl+kliknij)</v>
      </c>
      <c r="H1693" s="0" t="s">
        <v>1068</v>
      </c>
    </row>
    <row r="1694" customFormat="false" ht="12.8" hidden="false" customHeight="false" outlineLevel="0" collapsed="false">
      <c r="A1694" s="1" t="s">
        <v>569</v>
      </c>
      <c r="C1694" s="3" t="s">
        <v>1069</v>
      </c>
      <c r="D1694" s="4" t="s">
        <v>571</v>
      </c>
      <c r="F1694" s="6" t="s">
        <v>1070</v>
      </c>
      <c r="G1694" s="7" t="str">
        <f aca="false">HYPERLINK(CONCATENATE("http://crfop.gdos.gov.pl/CRFOP/widok/viewpomnikprzyrody.jsf?fop=","PL.ZIPOP.1393.PP.1021042.791"),"(kliknij lub Ctrl+kliknij)")</f>
        <v>(kliknij lub Ctrl+kliknij)</v>
      </c>
      <c r="H1694" s="0" t="s">
        <v>1068</v>
      </c>
    </row>
    <row r="1695" customFormat="false" ht="12.8" hidden="false" customHeight="false" outlineLevel="0" collapsed="false">
      <c r="A1695" s="1" t="s">
        <v>569</v>
      </c>
      <c r="C1695" s="3" t="s">
        <v>702</v>
      </c>
      <c r="D1695" s="4" t="s">
        <v>571</v>
      </c>
      <c r="F1695" s="6" t="s">
        <v>703</v>
      </c>
      <c r="G1695" s="7" t="str">
        <f aca="false">HYPERLINK(CONCATENATE("http://crfop.gdos.gov.pl/CRFOP/widok/viewpomnikprzyrody.jsf?fop=","PL.ZIPOP.1393.PP.1021052.808"),"(kliknij lub Ctrl+kliknij)")</f>
        <v>(kliknij lub Ctrl+kliknij)</v>
      </c>
      <c r="H1695" s="0" t="s">
        <v>1071</v>
      </c>
    </row>
    <row r="1696" customFormat="false" ht="12.8" hidden="false" customHeight="false" outlineLevel="0" collapsed="false">
      <c r="A1696" s="1" t="s">
        <v>569</v>
      </c>
      <c r="C1696" s="3" t="s">
        <v>1072</v>
      </c>
      <c r="D1696" s="4" t="s">
        <v>571</v>
      </c>
      <c r="F1696" s="6" t="s">
        <v>1073</v>
      </c>
      <c r="G1696" s="7" t="str">
        <f aca="false">HYPERLINK(CONCATENATE("http://crfop.gdos.gov.pl/CRFOP/widok/viewpomnikprzyrody.jsf?fop=","PL.ZIPOP.1393.PP.1021052.809"),"(kliknij lub Ctrl+kliknij)")</f>
        <v>(kliknij lub Ctrl+kliknij)</v>
      </c>
      <c r="H1696" s="0" t="s">
        <v>1071</v>
      </c>
    </row>
    <row r="1697" customFormat="false" ht="12.8" hidden="false" customHeight="false" outlineLevel="0" collapsed="false">
      <c r="A1697" s="1" t="s">
        <v>569</v>
      </c>
      <c r="C1697" s="3" t="s">
        <v>889</v>
      </c>
      <c r="D1697" s="4" t="s">
        <v>571</v>
      </c>
      <c r="F1697" s="6" t="s">
        <v>890</v>
      </c>
      <c r="G1697" s="7" t="str">
        <f aca="false">HYPERLINK(CONCATENATE("http://crfop.gdos.gov.pl/CRFOP/widok/viewpomnikprzyrody.jsf?fop=","PL.ZIPOP.1393.PP.1021052.815"),"(kliknij lub Ctrl+kliknij)")</f>
        <v>(kliknij lub Ctrl+kliknij)</v>
      </c>
      <c r="H1697" s="0" t="s">
        <v>1071</v>
      </c>
    </row>
    <row r="1698" customFormat="false" ht="12.8" hidden="false" customHeight="false" outlineLevel="0" collapsed="false">
      <c r="A1698" s="1" t="s">
        <v>569</v>
      </c>
      <c r="C1698" s="3" t="s">
        <v>889</v>
      </c>
      <c r="D1698" s="4" t="s">
        <v>571</v>
      </c>
      <c r="F1698" s="6" t="s">
        <v>890</v>
      </c>
      <c r="G1698" s="7" t="str">
        <f aca="false">HYPERLINK(CONCATENATE("http://crfop.gdos.gov.pl/CRFOP/widok/viewpomnikprzyrody.jsf?fop=","PL.ZIPOP.1393.PP.1021052.816"),"(kliknij lub Ctrl+kliknij)")</f>
        <v>(kliknij lub Ctrl+kliknij)</v>
      </c>
      <c r="H1698" s="0" t="s">
        <v>1071</v>
      </c>
    </row>
    <row r="1699" customFormat="false" ht="12.8" hidden="false" customHeight="false" outlineLevel="0" collapsed="false">
      <c r="A1699" s="1" t="s">
        <v>569</v>
      </c>
      <c r="C1699" s="3" t="s">
        <v>889</v>
      </c>
      <c r="D1699" s="4" t="s">
        <v>571</v>
      </c>
      <c r="F1699" s="6" t="s">
        <v>890</v>
      </c>
      <c r="G1699" s="7" t="str">
        <f aca="false">HYPERLINK(CONCATENATE("http://crfop.gdos.gov.pl/CRFOP/widok/viewpomnikprzyrody.jsf?fop=","PL.ZIPOP.1393.PP.1021052.817"),"(kliknij lub Ctrl+kliknij)")</f>
        <v>(kliknij lub Ctrl+kliknij)</v>
      </c>
      <c r="H1699" s="0" t="s">
        <v>1071</v>
      </c>
    </row>
    <row r="1700" customFormat="false" ht="12.8" hidden="false" customHeight="false" outlineLevel="0" collapsed="false">
      <c r="A1700" s="1" t="s">
        <v>569</v>
      </c>
      <c r="C1700" s="3" t="s">
        <v>889</v>
      </c>
      <c r="D1700" s="4" t="s">
        <v>571</v>
      </c>
      <c r="F1700" s="6" t="s">
        <v>890</v>
      </c>
      <c r="G1700" s="7" t="str">
        <f aca="false">HYPERLINK(CONCATENATE("http://crfop.gdos.gov.pl/CRFOP/widok/viewpomnikprzyrody.jsf?fop=","PL.ZIPOP.1393.PP.1021052.820"),"(kliknij lub Ctrl+kliknij)")</f>
        <v>(kliknij lub Ctrl+kliknij)</v>
      </c>
      <c r="H1700" s="0" t="s">
        <v>1071</v>
      </c>
    </row>
    <row r="1701" customFormat="false" ht="12.8" hidden="false" customHeight="false" outlineLevel="0" collapsed="false">
      <c r="A1701" s="1" t="s">
        <v>569</v>
      </c>
      <c r="C1701" s="3" t="s">
        <v>889</v>
      </c>
      <c r="D1701" s="4" t="s">
        <v>571</v>
      </c>
      <c r="F1701" s="6" t="s">
        <v>890</v>
      </c>
      <c r="G1701" s="7" t="str">
        <f aca="false">HYPERLINK(CONCATENATE("http://crfop.gdos.gov.pl/CRFOP/widok/viewpomnikprzyrody.jsf?fop=","PL.ZIPOP.1393.PP.1021052.822"),"(kliknij lub Ctrl+kliknij)")</f>
        <v>(kliknij lub Ctrl+kliknij)</v>
      </c>
      <c r="H1701" s="0" t="s">
        <v>1071</v>
      </c>
    </row>
    <row r="1702" customFormat="false" ht="12.8" hidden="false" customHeight="false" outlineLevel="0" collapsed="false">
      <c r="A1702" s="1" t="s">
        <v>569</v>
      </c>
      <c r="C1702" s="3" t="s">
        <v>889</v>
      </c>
      <c r="D1702" s="4" t="s">
        <v>571</v>
      </c>
      <c r="F1702" s="6" t="s">
        <v>890</v>
      </c>
      <c r="G1702" s="7" t="str">
        <f aca="false">HYPERLINK(CONCATENATE("http://crfop.gdos.gov.pl/CRFOP/widok/viewpomnikprzyrody.jsf?fop=","PL.ZIPOP.1393.PP.1021052.823"),"(kliknij lub Ctrl+kliknij)")</f>
        <v>(kliknij lub Ctrl+kliknij)</v>
      </c>
      <c r="H1702" s="0" t="s">
        <v>1071</v>
      </c>
    </row>
    <row r="1703" customFormat="false" ht="12.8" hidden="false" customHeight="false" outlineLevel="0" collapsed="false">
      <c r="A1703" s="1" t="s">
        <v>569</v>
      </c>
      <c r="C1703" s="3" t="s">
        <v>889</v>
      </c>
      <c r="D1703" s="4" t="s">
        <v>571</v>
      </c>
      <c r="F1703" s="6" t="s">
        <v>890</v>
      </c>
      <c r="G1703" s="7" t="str">
        <f aca="false">HYPERLINK(CONCATENATE("http://crfop.gdos.gov.pl/CRFOP/widok/viewpomnikprzyrody.jsf?fop=","PL.ZIPOP.1393.PP.1021052.824"),"(kliknij lub Ctrl+kliknij)")</f>
        <v>(kliknij lub Ctrl+kliknij)</v>
      </c>
      <c r="H1703" s="0" t="s">
        <v>1071</v>
      </c>
    </row>
    <row r="1704" customFormat="false" ht="12.8" hidden="false" customHeight="false" outlineLevel="0" collapsed="false">
      <c r="A1704" s="1" t="s">
        <v>569</v>
      </c>
      <c r="C1704" s="3" t="s">
        <v>889</v>
      </c>
      <c r="D1704" s="4" t="s">
        <v>571</v>
      </c>
      <c r="F1704" s="6" t="s">
        <v>890</v>
      </c>
      <c r="G1704" s="7" t="str">
        <f aca="false">HYPERLINK(CONCATENATE("http://crfop.gdos.gov.pl/CRFOP/widok/viewpomnikprzyrody.jsf?fop=","PL.ZIPOP.1393.PP.1021052.825"),"(kliknij lub Ctrl+kliknij)")</f>
        <v>(kliknij lub Ctrl+kliknij)</v>
      </c>
      <c r="H1704" s="0" t="s">
        <v>1071</v>
      </c>
    </row>
    <row r="1705" customFormat="false" ht="12.8" hidden="false" customHeight="false" outlineLevel="0" collapsed="false">
      <c r="A1705" s="1" t="s">
        <v>569</v>
      </c>
      <c r="C1705" s="3" t="s">
        <v>889</v>
      </c>
      <c r="D1705" s="4" t="s">
        <v>571</v>
      </c>
      <c r="F1705" s="6" t="s">
        <v>890</v>
      </c>
      <c r="G1705" s="7" t="str">
        <f aca="false">HYPERLINK(CONCATENATE("http://crfop.gdos.gov.pl/CRFOP/widok/viewpomnikprzyrody.jsf?fop=","PL.ZIPOP.1393.PP.1021052.826"),"(kliknij lub Ctrl+kliknij)")</f>
        <v>(kliknij lub Ctrl+kliknij)</v>
      </c>
      <c r="H1705" s="0" t="s">
        <v>1071</v>
      </c>
    </row>
    <row r="1706" customFormat="false" ht="12.8" hidden="false" customHeight="false" outlineLevel="0" collapsed="false">
      <c r="A1706" s="1" t="s">
        <v>569</v>
      </c>
      <c r="C1706" s="3" t="s">
        <v>889</v>
      </c>
      <c r="D1706" s="4" t="s">
        <v>571</v>
      </c>
      <c r="F1706" s="6" t="s">
        <v>890</v>
      </c>
      <c r="G1706" s="7" t="str">
        <f aca="false">HYPERLINK(CONCATENATE("http://crfop.gdos.gov.pl/CRFOP/widok/viewpomnikprzyrody.jsf?fop=","PL.ZIPOP.1393.PP.1021052.827"),"(kliknij lub Ctrl+kliknij)")</f>
        <v>(kliknij lub Ctrl+kliknij)</v>
      </c>
      <c r="H1706" s="0" t="s">
        <v>1071</v>
      </c>
    </row>
    <row r="1707" customFormat="false" ht="12.8" hidden="false" customHeight="false" outlineLevel="0" collapsed="false">
      <c r="A1707" s="1" t="s">
        <v>569</v>
      </c>
      <c r="C1707" s="3" t="s">
        <v>889</v>
      </c>
      <c r="D1707" s="4" t="s">
        <v>571</v>
      </c>
      <c r="F1707" s="6" t="s">
        <v>890</v>
      </c>
      <c r="G1707" s="7" t="str">
        <f aca="false">HYPERLINK(CONCATENATE("http://crfop.gdos.gov.pl/CRFOP/widok/viewpomnikprzyrody.jsf?fop=","PL.ZIPOP.1393.PP.1021052.828"),"(kliknij lub Ctrl+kliknij)")</f>
        <v>(kliknij lub Ctrl+kliknij)</v>
      </c>
      <c r="H1707" s="0" t="s">
        <v>1071</v>
      </c>
    </row>
    <row r="1708" customFormat="false" ht="12.8" hidden="false" customHeight="false" outlineLevel="0" collapsed="false">
      <c r="A1708" s="1" t="s">
        <v>569</v>
      </c>
      <c r="C1708" s="3" t="s">
        <v>889</v>
      </c>
      <c r="D1708" s="4" t="s">
        <v>571</v>
      </c>
      <c r="F1708" s="6" t="s">
        <v>890</v>
      </c>
      <c r="G1708" s="7" t="str">
        <f aca="false">HYPERLINK(CONCATENATE("http://crfop.gdos.gov.pl/CRFOP/widok/viewpomnikprzyrody.jsf?fop=","PL.ZIPOP.1393.PP.1021052.829"),"(kliknij lub Ctrl+kliknij)")</f>
        <v>(kliknij lub Ctrl+kliknij)</v>
      </c>
      <c r="H1708" s="0" t="s">
        <v>1071</v>
      </c>
    </row>
    <row r="1709" customFormat="false" ht="12.8" hidden="false" customHeight="false" outlineLevel="0" collapsed="false">
      <c r="A1709" s="1" t="s">
        <v>569</v>
      </c>
      <c r="C1709" s="3" t="s">
        <v>889</v>
      </c>
      <c r="D1709" s="4" t="s">
        <v>571</v>
      </c>
      <c r="F1709" s="6" t="s">
        <v>890</v>
      </c>
      <c r="G1709" s="7" t="str">
        <f aca="false">HYPERLINK(CONCATENATE("http://crfop.gdos.gov.pl/CRFOP/widok/viewpomnikprzyrody.jsf?fop=","PL.ZIPOP.1393.PP.1021052.830"),"(kliknij lub Ctrl+kliknij)")</f>
        <v>(kliknij lub Ctrl+kliknij)</v>
      </c>
      <c r="H1709" s="0" t="s">
        <v>1071</v>
      </c>
    </row>
    <row r="1710" customFormat="false" ht="12.8" hidden="false" customHeight="false" outlineLevel="0" collapsed="false">
      <c r="A1710" s="1" t="s">
        <v>569</v>
      </c>
      <c r="C1710" s="3" t="s">
        <v>889</v>
      </c>
      <c r="D1710" s="4" t="s">
        <v>571</v>
      </c>
      <c r="F1710" s="6" t="s">
        <v>890</v>
      </c>
      <c r="G1710" s="7" t="str">
        <f aca="false">HYPERLINK(CONCATENATE("http://crfop.gdos.gov.pl/CRFOP/widok/viewpomnikprzyrody.jsf?fop=","PL.ZIPOP.1393.PP.1021052.831"),"(kliknij lub Ctrl+kliknij)")</f>
        <v>(kliknij lub Ctrl+kliknij)</v>
      </c>
      <c r="H1710" s="0" t="s">
        <v>1071</v>
      </c>
    </row>
    <row r="1711" customFormat="false" ht="12.8" hidden="false" customHeight="false" outlineLevel="0" collapsed="false">
      <c r="A1711" s="1" t="s">
        <v>569</v>
      </c>
      <c r="C1711" s="3" t="s">
        <v>1074</v>
      </c>
      <c r="D1711" s="4" t="s">
        <v>571</v>
      </c>
      <c r="F1711" s="6" t="s">
        <v>890</v>
      </c>
      <c r="G1711" s="7" t="str">
        <f aca="false">HYPERLINK(CONCATENATE("http://crfop.gdos.gov.pl/CRFOP/widok/viewpomnikprzyrody.jsf?fop=","PL.ZIPOP.1393.PP.1021052.832"),"(kliknij lub Ctrl+kliknij)")</f>
        <v>(kliknij lub Ctrl+kliknij)</v>
      </c>
      <c r="H1711" s="0" t="s">
        <v>1071</v>
      </c>
    </row>
    <row r="1712" customFormat="false" ht="12.8" hidden="false" customHeight="false" outlineLevel="0" collapsed="false">
      <c r="A1712" s="1" t="s">
        <v>569</v>
      </c>
      <c r="C1712" s="3" t="s">
        <v>1074</v>
      </c>
      <c r="D1712" s="4" t="s">
        <v>571</v>
      </c>
      <c r="F1712" s="6" t="s">
        <v>890</v>
      </c>
      <c r="G1712" s="7" t="str">
        <f aca="false">HYPERLINK(CONCATENATE("http://crfop.gdos.gov.pl/CRFOP/widok/viewpomnikprzyrody.jsf?fop=","PL.ZIPOP.1393.PP.1021052.840"),"(kliknij lub Ctrl+kliknij)")</f>
        <v>(kliknij lub Ctrl+kliknij)</v>
      </c>
      <c r="H1712" s="0" t="s">
        <v>1071</v>
      </c>
    </row>
    <row r="1713" customFormat="false" ht="12.8" hidden="false" customHeight="false" outlineLevel="0" collapsed="false">
      <c r="A1713" s="1" t="s">
        <v>569</v>
      </c>
      <c r="C1713" s="3" t="s">
        <v>710</v>
      </c>
      <c r="D1713" s="4" t="s">
        <v>571</v>
      </c>
      <c r="F1713" s="6" t="s">
        <v>711</v>
      </c>
      <c r="G1713" s="7" t="str">
        <f aca="false">HYPERLINK(CONCATENATE("http://crfop.gdos.gov.pl/CRFOP/widok/viewpomnikprzyrody.jsf?fop=","PL.ZIPOP.1393.PP.1061011.100"),"(kliknij lub Ctrl+kliknij)")</f>
        <v>(kliknij lub Ctrl+kliknij)</v>
      </c>
      <c r="H1713" s="0" t="s">
        <v>1075</v>
      </c>
    </row>
    <row r="1714" customFormat="false" ht="12.8" hidden="false" customHeight="false" outlineLevel="0" collapsed="false">
      <c r="A1714" s="1" t="s">
        <v>569</v>
      </c>
      <c r="C1714" s="3" t="s">
        <v>710</v>
      </c>
      <c r="D1714" s="4" t="s">
        <v>571</v>
      </c>
      <c r="F1714" s="6" t="s">
        <v>711</v>
      </c>
      <c r="G1714" s="7" t="str">
        <f aca="false">HYPERLINK(CONCATENATE("http://crfop.gdos.gov.pl/CRFOP/widok/viewpomnikprzyrody.jsf?fop=","PL.ZIPOP.1393.PP.1061011.102"),"(kliknij lub Ctrl+kliknij)")</f>
        <v>(kliknij lub Ctrl+kliknij)</v>
      </c>
      <c r="H1714" s="0" t="s">
        <v>1075</v>
      </c>
    </row>
    <row r="1715" customFormat="false" ht="12.8" hidden="false" customHeight="false" outlineLevel="0" collapsed="false">
      <c r="A1715" s="1" t="s">
        <v>569</v>
      </c>
      <c r="C1715" s="3" t="s">
        <v>710</v>
      </c>
      <c r="D1715" s="4" t="s">
        <v>571</v>
      </c>
      <c r="F1715" s="6" t="s">
        <v>711</v>
      </c>
      <c r="G1715" s="7" t="str">
        <f aca="false">HYPERLINK(CONCATENATE("http://crfop.gdos.gov.pl/CRFOP/widok/viewpomnikprzyrody.jsf?fop=","PL.ZIPOP.1393.PP.1061011.104"),"(kliknij lub Ctrl+kliknij)")</f>
        <v>(kliknij lub Ctrl+kliknij)</v>
      </c>
      <c r="H1715" s="0" t="s">
        <v>1075</v>
      </c>
    </row>
    <row r="1716" customFormat="false" ht="12.8" hidden="false" customHeight="false" outlineLevel="0" collapsed="false">
      <c r="A1716" s="1" t="s">
        <v>569</v>
      </c>
      <c r="C1716" s="3" t="s">
        <v>710</v>
      </c>
      <c r="D1716" s="4" t="s">
        <v>571</v>
      </c>
      <c r="F1716" s="6" t="s">
        <v>711</v>
      </c>
      <c r="G1716" s="7" t="str">
        <f aca="false">HYPERLINK(CONCATENATE("http://crfop.gdos.gov.pl/CRFOP/widok/viewpomnikprzyrody.jsf?fop=","PL.ZIPOP.1393.PP.1061011.105"),"(kliknij lub Ctrl+kliknij)")</f>
        <v>(kliknij lub Ctrl+kliknij)</v>
      </c>
      <c r="H1716" s="0" t="s">
        <v>1075</v>
      </c>
    </row>
    <row r="1717" customFormat="false" ht="12.8" hidden="false" customHeight="false" outlineLevel="0" collapsed="false">
      <c r="A1717" s="1" t="s">
        <v>569</v>
      </c>
      <c r="B1717" s="2" t="s">
        <v>1076</v>
      </c>
      <c r="C1717" s="3" t="s">
        <v>710</v>
      </c>
      <c r="D1717" s="4" t="s">
        <v>571</v>
      </c>
      <c r="F1717" s="6" t="s">
        <v>711</v>
      </c>
      <c r="G1717" s="7" t="str">
        <f aca="false">HYPERLINK(CONCATENATE("http://crfop.gdos.gov.pl/CRFOP/widok/viewpomnikprzyrody.jsf?fop=","PL.ZIPOP.1393.PP.1061011.106"),"(kliknij lub Ctrl+kliknij)")</f>
        <v>(kliknij lub Ctrl+kliknij)</v>
      </c>
      <c r="H1717" s="0" t="s">
        <v>1075</v>
      </c>
    </row>
    <row r="1718" customFormat="false" ht="12.8" hidden="false" customHeight="false" outlineLevel="0" collapsed="false">
      <c r="A1718" s="1" t="s">
        <v>569</v>
      </c>
      <c r="C1718" s="3" t="s">
        <v>710</v>
      </c>
      <c r="D1718" s="4" t="s">
        <v>571</v>
      </c>
      <c r="F1718" s="6" t="s">
        <v>711</v>
      </c>
      <c r="G1718" s="7" t="str">
        <f aca="false">HYPERLINK(CONCATENATE("http://crfop.gdos.gov.pl/CRFOP/widok/viewpomnikprzyrody.jsf?fop=","PL.ZIPOP.1393.PP.1061011.107"),"(kliknij lub Ctrl+kliknij)")</f>
        <v>(kliknij lub Ctrl+kliknij)</v>
      </c>
      <c r="H1718" s="0" t="s">
        <v>1075</v>
      </c>
    </row>
    <row r="1719" customFormat="false" ht="12.8" hidden="false" customHeight="false" outlineLevel="0" collapsed="false">
      <c r="A1719" s="1" t="s">
        <v>569</v>
      </c>
      <c r="C1719" s="3" t="s">
        <v>710</v>
      </c>
      <c r="D1719" s="4" t="s">
        <v>571</v>
      </c>
      <c r="F1719" s="6" t="s">
        <v>711</v>
      </c>
      <c r="G1719" s="7" t="str">
        <f aca="false">HYPERLINK(CONCATENATE("http://crfop.gdos.gov.pl/CRFOP/widok/viewpomnikprzyrody.jsf?fop=","PL.ZIPOP.1393.PP.1061011.108"),"(kliknij lub Ctrl+kliknij)")</f>
        <v>(kliknij lub Ctrl+kliknij)</v>
      </c>
      <c r="H1719" s="0" t="s">
        <v>1075</v>
      </c>
    </row>
    <row r="1720" customFormat="false" ht="12.8" hidden="false" customHeight="false" outlineLevel="0" collapsed="false">
      <c r="A1720" s="1" t="s">
        <v>569</v>
      </c>
      <c r="C1720" s="3" t="s">
        <v>710</v>
      </c>
      <c r="D1720" s="4" t="s">
        <v>571</v>
      </c>
      <c r="F1720" s="6" t="s">
        <v>711</v>
      </c>
      <c r="G1720" s="7" t="str">
        <f aca="false">HYPERLINK(CONCATENATE("http://crfop.gdos.gov.pl/CRFOP/widok/viewpomnikprzyrody.jsf?fop=","PL.ZIPOP.1393.PP.1061011.111"),"(kliknij lub Ctrl+kliknij)")</f>
        <v>(kliknij lub Ctrl+kliknij)</v>
      </c>
      <c r="H1720" s="0" t="s">
        <v>1075</v>
      </c>
    </row>
    <row r="1721" customFormat="false" ht="12.8" hidden="false" customHeight="false" outlineLevel="0" collapsed="false">
      <c r="A1721" s="1" t="s">
        <v>569</v>
      </c>
      <c r="C1721" s="3" t="s">
        <v>710</v>
      </c>
      <c r="D1721" s="4" t="s">
        <v>571</v>
      </c>
      <c r="F1721" s="6" t="s">
        <v>711</v>
      </c>
      <c r="G1721" s="7" t="str">
        <f aca="false">HYPERLINK(CONCATENATE("http://crfop.gdos.gov.pl/CRFOP/widok/viewpomnikprzyrody.jsf?fop=","PL.ZIPOP.1393.PP.1061011.112"),"(kliknij lub Ctrl+kliknij)")</f>
        <v>(kliknij lub Ctrl+kliknij)</v>
      </c>
      <c r="H1721" s="0" t="s">
        <v>1075</v>
      </c>
    </row>
    <row r="1722" customFormat="false" ht="12.8" hidden="false" customHeight="false" outlineLevel="0" collapsed="false">
      <c r="A1722" s="1" t="s">
        <v>569</v>
      </c>
      <c r="C1722" s="3" t="s">
        <v>710</v>
      </c>
      <c r="D1722" s="4" t="s">
        <v>571</v>
      </c>
      <c r="F1722" s="6" t="s">
        <v>711</v>
      </c>
      <c r="G1722" s="7" t="str">
        <f aca="false">HYPERLINK(CONCATENATE("http://crfop.gdos.gov.pl/CRFOP/widok/viewpomnikprzyrody.jsf?fop=","PL.ZIPOP.1393.PP.1061011.113"),"(kliknij lub Ctrl+kliknij)")</f>
        <v>(kliknij lub Ctrl+kliknij)</v>
      </c>
      <c r="H1722" s="0" t="s">
        <v>1075</v>
      </c>
    </row>
    <row r="1723" customFormat="false" ht="12.8" hidden="false" customHeight="false" outlineLevel="0" collapsed="false">
      <c r="A1723" s="1" t="s">
        <v>569</v>
      </c>
      <c r="C1723" s="3" t="s">
        <v>710</v>
      </c>
      <c r="D1723" s="4" t="s">
        <v>571</v>
      </c>
      <c r="F1723" s="6" t="s">
        <v>711</v>
      </c>
      <c r="G1723" s="7" t="str">
        <f aca="false">HYPERLINK(CONCATENATE("http://crfop.gdos.gov.pl/CRFOP/widok/viewpomnikprzyrody.jsf?fop=","PL.ZIPOP.1393.PP.1061011.116"),"(kliknij lub Ctrl+kliknij)")</f>
        <v>(kliknij lub Ctrl+kliknij)</v>
      </c>
      <c r="H1723" s="0" t="s">
        <v>1075</v>
      </c>
    </row>
    <row r="1724" customFormat="false" ht="12.8" hidden="false" customHeight="false" outlineLevel="0" collapsed="false">
      <c r="A1724" s="1" t="s">
        <v>569</v>
      </c>
      <c r="C1724" s="3" t="s">
        <v>710</v>
      </c>
      <c r="D1724" s="4" t="s">
        <v>571</v>
      </c>
      <c r="F1724" s="6" t="s">
        <v>711</v>
      </c>
      <c r="G1724" s="7" t="str">
        <f aca="false">HYPERLINK(CONCATENATE("http://crfop.gdos.gov.pl/CRFOP/widok/viewpomnikprzyrody.jsf?fop=","PL.ZIPOP.1393.PP.1061011.117"),"(kliknij lub Ctrl+kliknij)")</f>
        <v>(kliknij lub Ctrl+kliknij)</v>
      </c>
      <c r="H1724" s="0" t="s">
        <v>1075</v>
      </c>
    </row>
    <row r="1725" customFormat="false" ht="12.8" hidden="false" customHeight="false" outlineLevel="0" collapsed="false">
      <c r="A1725" s="1" t="s">
        <v>569</v>
      </c>
      <c r="C1725" s="3" t="s">
        <v>710</v>
      </c>
      <c r="D1725" s="4" t="s">
        <v>571</v>
      </c>
      <c r="F1725" s="6" t="s">
        <v>711</v>
      </c>
      <c r="G1725" s="7" t="str">
        <f aca="false">HYPERLINK(CONCATENATE("http://crfop.gdos.gov.pl/CRFOP/widok/viewpomnikprzyrody.jsf?fop=","PL.ZIPOP.1393.PP.1061011.11"),"(kliknij lub Ctrl+kliknij)")</f>
        <v>(kliknij lub Ctrl+kliknij)</v>
      </c>
      <c r="H1725" s="0" t="s">
        <v>1075</v>
      </c>
    </row>
    <row r="1726" customFormat="false" ht="12.8" hidden="false" customHeight="false" outlineLevel="0" collapsed="false">
      <c r="A1726" s="1" t="s">
        <v>569</v>
      </c>
      <c r="C1726" s="3" t="s">
        <v>710</v>
      </c>
      <c r="D1726" s="4" t="s">
        <v>571</v>
      </c>
      <c r="F1726" s="6" t="s">
        <v>711</v>
      </c>
      <c r="G1726" s="7" t="str">
        <f aca="false">HYPERLINK(CONCATENATE("http://crfop.gdos.gov.pl/CRFOP/widok/viewpomnikprzyrody.jsf?fop=","PL.ZIPOP.1393.PP.1061011.120"),"(kliknij lub Ctrl+kliknij)")</f>
        <v>(kliknij lub Ctrl+kliknij)</v>
      </c>
      <c r="H1726" s="0" t="s">
        <v>1075</v>
      </c>
    </row>
    <row r="1727" customFormat="false" ht="12.8" hidden="false" customHeight="false" outlineLevel="0" collapsed="false">
      <c r="A1727" s="1" t="s">
        <v>569</v>
      </c>
      <c r="C1727" s="3" t="s">
        <v>710</v>
      </c>
      <c r="D1727" s="4" t="s">
        <v>571</v>
      </c>
      <c r="F1727" s="6" t="s">
        <v>711</v>
      </c>
      <c r="G1727" s="7" t="str">
        <f aca="false">HYPERLINK(CONCATENATE("http://crfop.gdos.gov.pl/CRFOP/widok/viewpomnikprzyrody.jsf?fop=","PL.ZIPOP.1393.PP.1061011.121"),"(kliknij lub Ctrl+kliknij)")</f>
        <v>(kliknij lub Ctrl+kliknij)</v>
      </c>
      <c r="H1727" s="0" t="s">
        <v>1075</v>
      </c>
    </row>
    <row r="1728" customFormat="false" ht="12.8" hidden="false" customHeight="false" outlineLevel="0" collapsed="false">
      <c r="A1728" s="1" t="s">
        <v>569</v>
      </c>
      <c r="C1728" s="3" t="s">
        <v>1077</v>
      </c>
      <c r="D1728" s="4" t="s">
        <v>571</v>
      </c>
      <c r="F1728" s="6" t="s">
        <v>711</v>
      </c>
      <c r="G1728" s="7" t="str">
        <f aca="false">HYPERLINK(CONCATENATE("http://crfop.gdos.gov.pl/CRFOP/widok/viewpomnikprzyrody.jsf?fop=","PL.ZIPOP.1393.PP.1061011.122"),"(kliknij lub Ctrl+kliknij)")</f>
        <v>(kliknij lub Ctrl+kliknij)</v>
      </c>
      <c r="H1728" s="0" t="s">
        <v>1075</v>
      </c>
    </row>
    <row r="1729" customFormat="false" ht="12.8" hidden="false" customHeight="false" outlineLevel="0" collapsed="false">
      <c r="A1729" s="1" t="s">
        <v>569</v>
      </c>
      <c r="C1729" s="3" t="s">
        <v>710</v>
      </c>
      <c r="D1729" s="4" t="s">
        <v>571</v>
      </c>
      <c r="F1729" s="6" t="s">
        <v>711</v>
      </c>
      <c r="G1729" s="7" t="str">
        <f aca="false">HYPERLINK(CONCATENATE("http://crfop.gdos.gov.pl/CRFOP/widok/viewpomnikprzyrody.jsf?fop=","PL.ZIPOP.1393.PP.1061011.123"),"(kliknij lub Ctrl+kliknij)")</f>
        <v>(kliknij lub Ctrl+kliknij)</v>
      </c>
      <c r="H1729" s="0" t="s">
        <v>1075</v>
      </c>
    </row>
    <row r="1730" customFormat="false" ht="12.8" hidden="false" customHeight="false" outlineLevel="0" collapsed="false">
      <c r="A1730" s="1" t="s">
        <v>569</v>
      </c>
      <c r="C1730" s="3" t="s">
        <v>710</v>
      </c>
      <c r="D1730" s="4" t="s">
        <v>571</v>
      </c>
      <c r="F1730" s="6" t="s">
        <v>711</v>
      </c>
      <c r="G1730" s="7" t="str">
        <f aca="false">HYPERLINK(CONCATENATE("http://crfop.gdos.gov.pl/CRFOP/widok/viewpomnikprzyrody.jsf?fop=","PL.ZIPOP.1393.PP.1061011.125"),"(kliknij lub Ctrl+kliknij)")</f>
        <v>(kliknij lub Ctrl+kliknij)</v>
      </c>
      <c r="H1730" s="0" t="s">
        <v>1075</v>
      </c>
    </row>
    <row r="1731" customFormat="false" ht="12.8" hidden="false" customHeight="false" outlineLevel="0" collapsed="false">
      <c r="A1731" s="1" t="s">
        <v>569</v>
      </c>
      <c r="C1731" s="3" t="s">
        <v>710</v>
      </c>
      <c r="D1731" s="4" t="s">
        <v>571</v>
      </c>
      <c r="F1731" s="6" t="s">
        <v>711</v>
      </c>
      <c r="G1731" s="7" t="str">
        <f aca="false">HYPERLINK(CONCATENATE("http://crfop.gdos.gov.pl/CRFOP/widok/viewpomnikprzyrody.jsf?fop=","PL.ZIPOP.1393.PP.1061011.126"),"(kliknij lub Ctrl+kliknij)")</f>
        <v>(kliknij lub Ctrl+kliknij)</v>
      </c>
      <c r="H1731" s="0" t="s">
        <v>1075</v>
      </c>
    </row>
    <row r="1732" customFormat="false" ht="12.8" hidden="false" customHeight="false" outlineLevel="0" collapsed="false">
      <c r="A1732" s="1" t="s">
        <v>569</v>
      </c>
      <c r="C1732" s="3" t="s">
        <v>1077</v>
      </c>
      <c r="D1732" s="4" t="s">
        <v>571</v>
      </c>
      <c r="F1732" s="6" t="s">
        <v>1078</v>
      </c>
      <c r="G1732" s="7" t="str">
        <f aca="false">HYPERLINK(CONCATENATE("http://crfop.gdos.gov.pl/CRFOP/widok/viewpomnikprzyrody.jsf?fop=","PL.ZIPOP.1393.PP.1061011.128"),"(kliknij lub Ctrl+kliknij)")</f>
        <v>(kliknij lub Ctrl+kliknij)</v>
      </c>
      <c r="H1732" s="0" t="s">
        <v>1075</v>
      </c>
    </row>
    <row r="1733" customFormat="false" ht="12.8" hidden="false" customHeight="false" outlineLevel="0" collapsed="false">
      <c r="A1733" s="1" t="s">
        <v>569</v>
      </c>
      <c r="C1733" s="3" t="s">
        <v>710</v>
      </c>
      <c r="D1733" s="4" t="s">
        <v>571</v>
      </c>
      <c r="F1733" s="6" t="s">
        <v>711</v>
      </c>
      <c r="G1733" s="7" t="str">
        <f aca="false">HYPERLINK(CONCATENATE("http://crfop.gdos.gov.pl/CRFOP/widok/viewpomnikprzyrody.jsf?fop=","PL.ZIPOP.1393.PP.1061011.129"),"(kliknij lub Ctrl+kliknij)")</f>
        <v>(kliknij lub Ctrl+kliknij)</v>
      </c>
      <c r="H1733" s="0" t="s">
        <v>1075</v>
      </c>
    </row>
    <row r="1734" customFormat="false" ht="12.8" hidden="false" customHeight="false" outlineLevel="0" collapsed="false">
      <c r="A1734" s="1" t="s">
        <v>569</v>
      </c>
      <c r="C1734" s="3" t="s">
        <v>1079</v>
      </c>
      <c r="D1734" s="4" t="s">
        <v>571</v>
      </c>
      <c r="F1734" s="6" t="s">
        <v>1080</v>
      </c>
      <c r="G1734" s="7" t="str">
        <f aca="false">HYPERLINK(CONCATENATE("http://crfop.gdos.gov.pl/CRFOP/widok/viewpomnikprzyrody.jsf?fop=","PL.ZIPOP.1393.PP.1061011.12"),"(kliknij lub Ctrl+kliknij)")</f>
        <v>(kliknij lub Ctrl+kliknij)</v>
      </c>
      <c r="H1734" s="0" t="s">
        <v>1075</v>
      </c>
    </row>
    <row r="1735" customFormat="false" ht="12.8" hidden="false" customHeight="false" outlineLevel="0" collapsed="false">
      <c r="A1735" s="1" t="s">
        <v>569</v>
      </c>
      <c r="C1735" s="3" t="s">
        <v>710</v>
      </c>
      <c r="D1735" s="4" t="s">
        <v>571</v>
      </c>
      <c r="F1735" s="6" t="s">
        <v>711</v>
      </c>
      <c r="G1735" s="7" t="str">
        <f aca="false">HYPERLINK(CONCATENATE("http://crfop.gdos.gov.pl/CRFOP/widok/viewpomnikprzyrody.jsf?fop=","PL.ZIPOP.1393.PP.1061011.131"),"(kliknij lub Ctrl+kliknij)")</f>
        <v>(kliknij lub Ctrl+kliknij)</v>
      </c>
      <c r="H1735" s="0" t="s">
        <v>1075</v>
      </c>
    </row>
    <row r="1736" customFormat="false" ht="12.8" hidden="false" customHeight="false" outlineLevel="0" collapsed="false">
      <c r="A1736" s="1" t="s">
        <v>569</v>
      </c>
      <c r="C1736" s="3" t="s">
        <v>710</v>
      </c>
      <c r="D1736" s="4" t="s">
        <v>571</v>
      </c>
      <c r="F1736" s="6" t="s">
        <v>711</v>
      </c>
      <c r="G1736" s="7" t="str">
        <f aca="false">HYPERLINK(CONCATENATE("http://crfop.gdos.gov.pl/CRFOP/widok/viewpomnikprzyrody.jsf?fop=","PL.ZIPOP.1393.PP.1061011.132"),"(kliknij lub Ctrl+kliknij)")</f>
        <v>(kliknij lub Ctrl+kliknij)</v>
      </c>
      <c r="H1736" s="0" t="s">
        <v>1075</v>
      </c>
    </row>
    <row r="1737" customFormat="false" ht="12.8" hidden="false" customHeight="false" outlineLevel="0" collapsed="false">
      <c r="A1737" s="1" t="s">
        <v>569</v>
      </c>
      <c r="C1737" s="3" t="s">
        <v>710</v>
      </c>
      <c r="D1737" s="4" t="s">
        <v>571</v>
      </c>
      <c r="F1737" s="6" t="s">
        <v>711</v>
      </c>
      <c r="G1737" s="7" t="str">
        <f aca="false">HYPERLINK(CONCATENATE("http://crfop.gdos.gov.pl/CRFOP/widok/viewpomnikprzyrody.jsf?fop=","PL.ZIPOP.1393.PP.1061011.133"),"(kliknij lub Ctrl+kliknij)")</f>
        <v>(kliknij lub Ctrl+kliknij)</v>
      </c>
      <c r="H1737" s="0" t="s">
        <v>1075</v>
      </c>
    </row>
    <row r="1738" customFormat="false" ht="12.8" hidden="false" customHeight="false" outlineLevel="0" collapsed="false">
      <c r="A1738" s="1" t="s">
        <v>569</v>
      </c>
      <c r="C1738" s="3" t="s">
        <v>710</v>
      </c>
      <c r="D1738" s="4" t="s">
        <v>571</v>
      </c>
      <c r="F1738" s="6" t="s">
        <v>711</v>
      </c>
      <c r="G1738" s="7" t="str">
        <f aca="false">HYPERLINK(CONCATENATE("http://crfop.gdos.gov.pl/CRFOP/widok/viewpomnikprzyrody.jsf?fop=","PL.ZIPOP.1393.PP.1061011.134"),"(kliknij lub Ctrl+kliknij)")</f>
        <v>(kliknij lub Ctrl+kliknij)</v>
      </c>
      <c r="H1738" s="0" t="s">
        <v>1075</v>
      </c>
    </row>
    <row r="1739" customFormat="false" ht="12.8" hidden="false" customHeight="false" outlineLevel="0" collapsed="false">
      <c r="A1739" s="1" t="s">
        <v>569</v>
      </c>
      <c r="C1739" s="3" t="s">
        <v>710</v>
      </c>
      <c r="D1739" s="4" t="s">
        <v>571</v>
      </c>
      <c r="F1739" s="6" t="s">
        <v>711</v>
      </c>
      <c r="G1739" s="7" t="str">
        <f aca="false">HYPERLINK(CONCATENATE("http://crfop.gdos.gov.pl/CRFOP/widok/viewpomnikprzyrody.jsf?fop=","PL.ZIPOP.1393.PP.1061011.135"),"(kliknij lub Ctrl+kliknij)")</f>
        <v>(kliknij lub Ctrl+kliknij)</v>
      </c>
      <c r="H1739" s="0" t="s">
        <v>1075</v>
      </c>
    </row>
    <row r="1740" customFormat="false" ht="12.8" hidden="false" customHeight="false" outlineLevel="0" collapsed="false">
      <c r="A1740" s="1" t="s">
        <v>569</v>
      </c>
      <c r="C1740" s="3" t="s">
        <v>710</v>
      </c>
      <c r="D1740" s="4" t="s">
        <v>571</v>
      </c>
      <c r="F1740" s="6" t="s">
        <v>711</v>
      </c>
      <c r="G1740" s="7" t="str">
        <f aca="false">HYPERLINK(CONCATENATE("http://crfop.gdos.gov.pl/CRFOP/widok/viewpomnikprzyrody.jsf?fop=","PL.ZIPOP.1393.PP.1061011.137"),"(kliknij lub Ctrl+kliknij)")</f>
        <v>(kliknij lub Ctrl+kliknij)</v>
      </c>
      <c r="H1740" s="0" t="s">
        <v>1075</v>
      </c>
    </row>
    <row r="1741" customFormat="false" ht="12.8" hidden="false" customHeight="false" outlineLevel="0" collapsed="false">
      <c r="A1741" s="1" t="s">
        <v>569</v>
      </c>
      <c r="C1741" s="3" t="s">
        <v>710</v>
      </c>
      <c r="D1741" s="4" t="s">
        <v>571</v>
      </c>
      <c r="F1741" s="6" t="s">
        <v>711</v>
      </c>
      <c r="G1741" s="7" t="str">
        <f aca="false">HYPERLINK(CONCATENATE("http://crfop.gdos.gov.pl/CRFOP/widok/viewpomnikprzyrody.jsf?fop=","PL.ZIPOP.1393.PP.1061011.138"),"(kliknij lub Ctrl+kliknij)")</f>
        <v>(kliknij lub Ctrl+kliknij)</v>
      </c>
      <c r="H1741" s="0" t="s">
        <v>1075</v>
      </c>
    </row>
    <row r="1742" customFormat="false" ht="12.8" hidden="false" customHeight="false" outlineLevel="0" collapsed="false">
      <c r="A1742" s="1" t="s">
        <v>569</v>
      </c>
      <c r="C1742" s="3" t="s">
        <v>710</v>
      </c>
      <c r="D1742" s="4" t="s">
        <v>571</v>
      </c>
      <c r="F1742" s="6" t="s">
        <v>711</v>
      </c>
      <c r="G1742" s="7" t="str">
        <f aca="false">HYPERLINK(CONCATENATE("http://crfop.gdos.gov.pl/CRFOP/widok/viewpomnikprzyrody.jsf?fop=","PL.ZIPOP.1393.PP.1061011.13"),"(kliknij lub Ctrl+kliknij)")</f>
        <v>(kliknij lub Ctrl+kliknij)</v>
      </c>
      <c r="H1742" s="0" t="s">
        <v>1075</v>
      </c>
    </row>
    <row r="1743" customFormat="false" ht="12.8" hidden="false" customHeight="false" outlineLevel="0" collapsed="false">
      <c r="A1743" s="1" t="s">
        <v>569</v>
      </c>
      <c r="C1743" s="3" t="s">
        <v>713</v>
      </c>
      <c r="D1743" s="4" t="s">
        <v>571</v>
      </c>
      <c r="F1743" s="6" t="s">
        <v>714</v>
      </c>
      <c r="G1743" s="7" t="str">
        <f aca="false">HYPERLINK(CONCATENATE("http://crfop.gdos.gov.pl/CRFOP/widok/viewpomnikprzyrody.jsf?fop=","PL.ZIPOP.1393.PP.1061011.140"),"(kliknij lub Ctrl+kliknij)")</f>
        <v>(kliknij lub Ctrl+kliknij)</v>
      </c>
      <c r="H1743" s="0" t="s">
        <v>1075</v>
      </c>
    </row>
    <row r="1744" customFormat="false" ht="12.8" hidden="false" customHeight="false" outlineLevel="0" collapsed="false">
      <c r="A1744" s="1" t="s">
        <v>569</v>
      </c>
      <c r="C1744" s="3" t="s">
        <v>713</v>
      </c>
      <c r="D1744" s="4" t="s">
        <v>571</v>
      </c>
      <c r="F1744" s="6" t="s">
        <v>714</v>
      </c>
      <c r="G1744" s="7" t="str">
        <f aca="false">HYPERLINK(CONCATENATE("http://crfop.gdos.gov.pl/CRFOP/widok/viewpomnikprzyrody.jsf?fop=","PL.ZIPOP.1393.PP.1061011.142"),"(kliknij lub Ctrl+kliknij)")</f>
        <v>(kliknij lub Ctrl+kliknij)</v>
      </c>
      <c r="H1744" s="0" t="s">
        <v>1075</v>
      </c>
    </row>
    <row r="1745" customFormat="false" ht="12.8" hidden="false" customHeight="false" outlineLevel="0" collapsed="false">
      <c r="A1745" s="1" t="s">
        <v>569</v>
      </c>
      <c r="C1745" s="3" t="s">
        <v>713</v>
      </c>
      <c r="D1745" s="4" t="s">
        <v>571</v>
      </c>
      <c r="F1745" s="6" t="s">
        <v>714</v>
      </c>
      <c r="G1745" s="7" t="str">
        <f aca="false">HYPERLINK(CONCATENATE("http://crfop.gdos.gov.pl/CRFOP/widok/viewpomnikprzyrody.jsf?fop=","PL.ZIPOP.1393.PP.1061011.143"),"(kliknij lub Ctrl+kliknij)")</f>
        <v>(kliknij lub Ctrl+kliknij)</v>
      </c>
      <c r="H1745" s="0" t="s">
        <v>1075</v>
      </c>
    </row>
    <row r="1746" customFormat="false" ht="12.8" hidden="false" customHeight="false" outlineLevel="0" collapsed="false">
      <c r="A1746" s="1" t="s">
        <v>569</v>
      </c>
      <c r="C1746" s="3" t="s">
        <v>713</v>
      </c>
      <c r="D1746" s="4" t="s">
        <v>571</v>
      </c>
      <c r="F1746" s="6" t="s">
        <v>714</v>
      </c>
      <c r="G1746" s="7" t="str">
        <f aca="false">HYPERLINK(CONCATENATE("http://crfop.gdos.gov.pl/CRFOP/widok/viewpomnikprzyrody.jsf?fop=","PL.ZIPOP.1393.PP.1061011.146"),"(kliknij lub Ctrl+kliknij)")</f>
        <v>(kliknij lub Ctrl+kliknij)</v>
      </c>
      <c r="H1746" s="0" t="s">
        <v>1075</v>
      </c>
    </row>
    <row r="1747" customFormat="false" ht="12.8" hidden="false" customHeight="false" outlineLevel="0" collapsed="false">
      <c r="A1747" s="1" t="s">
        <v>569</v>
      </c>
      <c r="C1747" s="3" t="s">
        <v>713</v>
      </c>
      <c r="D1747" s="4" t="s">
        <v>571</v>
      </c>
      <c r="F1747" s="6" t="s">
        <v>714</v>
      </c>
      <c r="G1747" s="7" t="str">
        <f aca="false">HYPERLINK(CONCATENATE("http://crfop.gdos.gov.pl/CRFOP/widok/viewpomnikprzyrody.jsf?fop=","PL.ZIPOP.1393.PP.1061011.147"),"(kliknij lub Ctrl+kliknij)")</f>
        <v>(kliknij lub Ctrl+kliknij)</v>
      </c>
      <c r="H1747" s="0" t="s">
        <v>1075</v>
      </c>
    </row>
    <row r="1748" customFormat="false" ht="12.8" hidden="false" customHeight="false" outlineLevel="0" collapsed="false">
      <c r="A1748" s="1" t="s">
        <v>569</v>
      </c>
      <c r="C1748" s="3" t="s">
        <v>710</v>
      </c>
      <c r="D1748" s="4" t="s">
        <v>571</v>
      </c>
      <c r="F1748" s="6" t="s">
        <v>711</v>
      </c>
      <c r="G1748" s="7" t="str">
        <f aca="false">HYPERLINK(CONCATENATE("http://crfop.gdos.gov.pl/CRFOP/widok/viewpomnikprzyrody.jsf?fop=","PL.ZIPOP.1393.PP.1061011.14"),"(kliknij lub Ctrl+kliknij)")</f>
        <v>(kliknij lub Ctrl+kliknij)</v>
      </c>
      <c r="H1748" s="0" t="s">
        <v>1075</v>
      </c>
    </row>
    <row r="1749" customFormat="false" ht="12.8" hidden="false" customHeight="false" outlineLevel="0" collapsed="false">
      <c r="A1749" s="1" t="s">
        <v>569</v>
      </c>
      <c r="C1749" s="3" t="s">
        <v>713</v>
      </c>
      <c r="D1749" s="4" t="s">
        <v>571</v>
      </c>
      <c r="F1749" s="6" t="s">
        <v>714</v>
      </c>
      <c r="G1749" s="7" t="str">
        <f aca="false">HYPERLINK(CONCATENATE("http://crfop.gdos.gov.pl/CRFOP/widok/viewpomnikprzyrody.jsf?fop=","PL.ZIPOP.1393.PP.1061011.150"),"(kliknij lub Ctrl+kliknij)")</f>
        <v>(kliknij lub Ctrl+kliknij)</v>
      </c>
      <c r="H1749" s="0" t="s">
        <v>1075</v>
      </c>
    </row>
    <row r="1750" customFormat="false" ht="12.8" hidden="false" customHeight="false" outlineLevel="0" collapsed="false">
      <c r="A1750" s="1" t="s">
        <v>569</v>
      </c>
      <c r="C1750" s="3" t="s">
        <v>713</v>
      </c>
      <c r="D1750" s="4" t="s">
        <v>571</v>
      </c>
      <c r="F1750" s="6" t="s">
        <v>714</v>
      </c>
      <c r="G1750" s="7" t="str">
        <f aca="false">HYPERLINK(CONCATENATE("http://crfop.gdos.gov.pl/CRFOP/widok/viewpomnikprzyrody.jsf?fop=","PL.ZIPOP.1393.PP.1061011.151"),"(kliknij lub Ctrl+kliknij)")</f>
        <v>(kliknij lub Ctrl+kliknij)</v>
      </c>
      <c r="H1750" s="0" t="s">
        <v>1075</v>
      </c>
    </row>
    <row r="1751" customFormat="false" ht="12.8" hidden="false" customHeight="false" outlineLevel="0" collapsed="false">
      <c r="A1751" s="1" t="s">
        <v>569</v>
      </c>
      <c r="C1751" s="3" t="s">
        <v>710</v>
      </c>
      <c r="D1751" s="4" t="s">
        <v>571</v>
      </c>
      <c r="F1751" s="6" t="s">
        <v>711</v>
      </c>
      <c r="G1751" s="7" t="str">
        <f aca="false">HYPERLINK(CONCATENATE("http://crfop.gdos.gov.pl/CRFOP/widok/viewpomnikprzyrody.jsf?fop=","PL.ZIPOP.1393.PP.1061011.155"),"(kliknij lub Ctrl+kliknij)")</f>
        <v>(kliknij lub Ctrl+kliknij)</v>
      </c>
      <c r="H1751" s="0" t="s">
        <v>1075</v>
      </c>
    </row>
    <row r="1752" customFormat="false" ht="12.8" hidden="false" customHeight="false" outlineLevel="0" collapsed="false">
      <c r="A1752" s="1" t="s">
        <v>569</v>
      </c>
      <c r="C1752" s="3" t="s">
        <v>710</v>
      </c>
      <c r="D1752" s="4" t="s">
        <v>571</v>
      </c>
      <c r="F1752" s="6" t="s">
        <v>711</v>
      </c>
      <c r="G1752" s="7" t="str">
        <f aca="false">HYPERLINK(CONCATENATE("http://crfop.gdos.gov.pl/CRFOP/widok/viewpomnikprzyrody.jsf?fop=","PL.ZIPOP.1393.PP.1061011.156"),"(kliknij lub Ctrl+kliknij)")</f>
        <v>(kliknij lub Ctrl+kliknij)</v>
      </c>
      <c r="H1752" s="0" t="s">
        <v>1075</v>
      </c>
    </row>
    <row r="1753" customFormat="false" ht="12.8" hidden="false" customHeight="false" outlineLevel="0" collapsed="false">
      <c r="A1753" s="1" t="s">
        <v>569</v>
      </c>
      <c r="C1753" s="3" t="s">
        <v>710</v>
      </c>
      <c r="D1753" s="4" t="s">
        <v>571</v>
      </c>
      <c r="F1753" s="6" t="s">
        <v>711</v>
      </c>
      <c r="G1753" s="7" t="str">
        <f aca="false">HYPERLINK(CONCATENATE("http://crfop.gdos.gov.pl/CRFOP/widok/viewpomnikprzyrody.jsf?fop=","PL.ZIPOP.1393.PP.1061011.157"),"(kliknij lub Ctrl+kliknij)")</f>
        <v>(kliknij lub Ctrl+kliknij)</v>
      </c>
      <c r="H1753" s="0" t="s">
        <v>1075</v>
      </c>
    </row>
    <row r="1754" customFormat="false" ht="12.8" hidden="false" customHeight="false" outlineLevel="0" collapsed="false">
      <c r="A1754" s="1" t="s">
        <v>569</v>
      </c>
      <c r="C1754" s="3" t="s">
        <v>710</v>
      </c>
      <c r="D1754" s="4" t="s">
        <v>571</v>
      </c>
      <c r="F1754" s="6" t="s">
        <v>711</v>
      </c>
      <c r="G1754" s="7" t="str">
        <f aca="false">HYPERLINK(CONCATENATE("http://crfop.gdos.gov.pl/CRFOP/widok/viewpomnikprzyrody.jsf?fop=","PL.ZIPOP.1393.PP.1061011.159"),"(kliknij lub Ctrl+kliknij)")</f>
        <v>(kliknij lub Ctrl+kliknij)</v>
      </c>
      <c r="H1754" s="0" t="s">
        <v>1075</v>
      </c>
    </row>
    <row r="1755" customFormat="false" ht="12.8" hidden="false" customHeight="false" outlineLevel="0" collapsed="false">
      <c r="A1755" s="1" t="s">
        <v>569</v>
      </c>
      <c r="C1755" s="3" t="s">
        <v>710</v>
      </c>
      <c r="D1755" s="4" t="s">
        <v>571</v>
      </c>
      <c r="F1755" s="6" t="s">
        <v>711</v>
      </c>
      <c r="G1755" s="7" t="str">
        <f aca="false">HYPERLINK(CONCATENATE("http://crfop.gdos.gov.pl/CRFOP/widok/viewpomnikprzyrody.jsf?fop=","PL.ZIPOP.1393.PP.1061011.15"),"(kliknij lub Ctrl+kliknij)")</f>
        <v>(kliknij lub Ctrl+kliknij)</v>
      </c>
      <c r="H1755" s="0" t="s">
        <v>1075</v>
      </c>
    </row>
    <row r="1756" customFormat="false" ht="12.8" hidden="false" customHeight="false" outlineLevel="0" collapsed="false">
      <c r="A1756" s="1" t="s">
        <v>569</v>
      </c>
      <c r="C1756" s="3" t="s">
        <v>710</v>
      </c>
      <c r="D1756" s="4" t="s">
        <v>571</v>
      </c>
      <c r="F1756" s="6" t="s">
        <v>711</v>
      </c>
      <c r="G1756" s="7" t="str">
        <f aca="false">HYPERLINK(CONCATENATE("http://crfop.gdos.gov.pl/CRFOP/widok/viewpomnikprzyrody.jsf?fop=","PL.ZIPOP.1393.PP.1061011.160"),"(kliknij lub Ctrl+kliknij)")</f>
        <v>(kliknij lub Ctrl+kliknij)</v>
      </c>
      <c r="H1756" s="0" t="s">
        <v>1075</v>
      </c>
    </row>
    <row r="1757" customFormat="false" ht="12.8" hidden="false" customHeight="false" outlineLevel="0" collapsed="false">
      <c r="A1757" s="1" t="s">
        <v>569</v>
      </c>
      <c r="C1757" s="3" t="s">
        <v>713</v>
      </c>
      <c r="D1757" s="4" t="s">
        <v>571</v>
      </c>
      <c r="F1757" s="6" t="s">
        <v>714</v>
      </c>
      <c r="G1757" s="7" t="str">
        <f aca="false">HYPERLINK(CONCATENATE("http://crfop.gdos.gov.pl/CRFOP/widok/viewpomnikprzyrody.jsf?fop=","PL.ZIPOP.1393.PP.1061011.161"),"(kliknij lub Ctrl+kliknij)")</f>
        <v>(kliknij lub Ctrl+kliknij)</v>
      </c>
      <c r="H1757" s="0" t="s">
        <v>1075</v>
      </c>
    </row>
    <row r="1758" customFormat="false" ht="12.8" hidden="false" customHeight="false" outlineLevel="0" collapsed="false">
      <c r="A1758" s="1" t="s">
        <v>569</v>
      </c>
      <c r="C1758" s="3" t="s">
        <v>713</v>
      </c>
      <c r="D1758" s="4" t="s">
        <v>571</v>
      </c>
      <c r="F1758" s="6" t="s">
        <v>714</v>
      </c>
      <c r="G1758" s="7" t="str">
        <f aca="false">HYPERLINK(CONCATENATE("http://crfop.gdos.gov.pl/CRFOP/widok/viewpomnikprzyrody.jsf?fop=","PL.ZIPOP.1393.PP.1061011.163"),"(kliknij lub Ctrl+kliknij)")</f>
        <v>(kliknij lub Ctrl+kliknij)</v>
      </c>
      <c r="H1758" s="0" t="s">
        <v>1075</v>
      </c>
    </row>
    <row r="1759" customFormat="false" ht="12.8" hidden="false" customHeight="false" outlineLevel="0" collapsed="false">
      <c r="A1759" s="1" t="s">
        <v>569</v>
      </c>
      <c r="C1759" s="3" t="s">
        <v>713</v>
      </c>
      <c r="D1759" s="4" t="s">
        <v>571</v>
      </c>
      <c r="F1759" s="6" t="s">
        <v>714</v>
      </c>
      <c r="G1759" s="7" t="str">
        <f aca="false">HYPERLINK(CONCATENATE("http://crfop.gdos.gov.pl/CRFOP/widok/viewpomnikprzyrody.jsf?fop=","PL.ZIPOP.1393.PP.1061011.165"),"(kliknij lub Ctrl+kliknij)")</f>
        <v>(kliknij lub Ctrl+kliknij)</v>
      </c>
      <c r="H1759" s="0" t="s">
        <v>1075</v>
      </c>
    </row>
    <row r="1760" customFormat="false" ht="12.8" hidden="false" customHeight="false" outlineLevel="0" collapsed="false">
      <c r="A1760" s="1" t="s">
        <v>569</v>
      </c>
      <c r="C1760" s="3" t="s">
        <v>713</v>
      </c>
      <c r="D1760" s="4" t="s">
        <v>571</v>
      </c>
      <c r="F1760" s="6" t="s">
        <v>714</v>
      </c>
      <c r="G1760" s="7" t="str">
        <f aca="false">HYPERLINK(CONCATENATE("http://crfop.gdos.gov.pl/CRFOP/widok/viewpomnikprzyrody.jsf?fop=","PL.ZIPOP.1393.PP.1061011.166"),"(kliknij lub Ctrl+kliknij)")</f>
        <v>(kliknij lub Ctrl+kliknij)</v>
      </c>
      <c r="H1760" s="0" t="s">
        <v>1075</v>
      </c>
    </row>
    <row r="1761" customFormat="false" ht="12.8" hidden="false" customHeight="false" outlineLevel="0" collapsed="false">
      <c r="A1761" s="1" t="s">
        <v>569</v>
      </c>
      <c r="C1761" s="3" t="s">
        <v>713</v>
      </c>
      <c r="D1761" s="4" t="s">
        <v>571</v>
      </c>
      <c r="F1761" s="6" t="s">
        <v>714</v>
      </c>
      <c r="G1761" s="7" t="str">
        <f aca="false">HYPERLINK(CONCATENATE("http://crfop.gdos.gov.pl/CRFOP/widok/viewpomnikprzyrody.jsf?fop=","PL.ZIPOP.1393.PP.1061011.168"),"(kliknij lub Ctrl+kliknij)")</f>
        <v>(kliknij lub Ctrl+kliknij)</v>
      </c>
      <c r="H1761" s="0" t="s">
        <v>1075</v>
      </c>
    </row>
    <row r="1762" customFormat="false" ht="12.8" hidden="false" customHeight="false" outlineLevel="0" collapsed="false">
      <c r="A1762" s="1" t="s">
        <v>569</v>
      </c>
      <c r="C1762" s="3" t="s">
        <v>713</v>
      </c>
      <c r="D1762" s="4" t="s">
        <v>571</v>
      </c>
      <c r="F1762" s="6" t="s">
        <v>714</v>
      </c>
      <c r="G1762" s="7" t="str">
        <f aca="false">HYPERLINK(CONCATENATE("http://crfop.gdos.gov.pl/CRFOP/widok/viewpomnikprzyrody.jsf?fop=","PL.ZIPOP.1393.PP.1061011.169"),"(kliknij lub Ctrl+kliknij)")</f>
        <v>(kliknij lub Ctrl+kliknij)</v>
      </c>
      <c r="H1762" s="0" t="s">
        <v>1075</v>
      </c>
    </row>
    <row r="1763" customFormat="false" ht="12.8" hidden="false" customHeight="false" outlineLevel="0" collapsed="false">
      <c r="A1763" s="1" t="s">
        <v>569</v>
      </c>
      <c r="C1763" s="3" t="s">
        <v>710</v>
      </c>
      <c r="D1763" s="4" t="s">
        <v>571</v>
      </c>
      <c r="F1763" s="6" t="s">
        <v>711</v>
      </c>
      <c r="G1763" s="7" t="str">
        <f aca="false">HYPERLINK(CONCATENATE("http://crfop.gdos.gov.pl/CRFOP/widok/viewpomnikprzyrody.jsf?fop=","PL.ZIPOP.1393.PP.1061011.16"),"(kliknij lub Ctrl+kliknij)")</f>
        <v>(kliknij lub Ctrl+kliknij)</v>
      </c>
      <c r="H1763" s="0" t="s">
        <v>1075</v>
      </c>
    </row>
    <row r="1764" customFormat="false" ht="12.8" hidden="false" customHeight="false" outlineLevel="0" collapsed="false">
      <c r="A1764" s="1" t="s">
        <v>569</v>
      </c>
      <c r="C1764" s="3" t="s">
        <v>713</v>
      </c>
      <c r="D1764" s="4" t="s">
        <v>571</v>
      </c>
      <c r="F1764" s="6" t="s">
        <v>714</v>
      </c>
      <c r="G1764" s="7" t="str">
        <f aca="false">HYPERLINK(CONCATENATE("http://crfop.gdos.gov.pl/CRFOP/widok/viewpomnikprzyrody.jsf?fop=","PL.ZIPOP.1393.PP.1061011.171"),"(kliknij lub Ctrl+kliknij)")</f>
        <v>(kliknij lub Ctrl+kliknij)</v>
      </c>
      <c r="H1764" s="0" t="s">
        <v>1075</v>
      </c>
    </row>
    <row r="1765" customFormat="false" ht="12.8" hidden="false" customHeight="false" outlineLevel="0" collapsed="false">
      <c r="A1765" s="1" t="s">
        <v>569</v>
      </c>
      <c r="C1765" s="3" t="s">
        <v>713</v>
      </c>
      <c r="D1765" s="4" t="s">
        <v>571</v>
      </c>
      <c r="F1765" s="6" t="s">
        <v>714</v>
      </c>
      <c r="G1765" s="7" t="str">
        <f aca="false">HYPERLINK(CONCATENATE("http://crfop.gdos.gov.pl/CRFOP/widok/viewpomnikprzyrody.jsf?fop=","PL.ZIPOP.1393.PP.1061011.173"),"(kliknij lub Ctrl+kliknij)")</f>
        <v>(kliknij lub Ctrl+kliknij)</v>
      </c>
      <c r="H1765" s="0" t="s">
        <v>1075</v>
      </c>
    </row>
    <row r="1766" customFormat="false" ht="12.8" hidden="false" customHeight="false" outlineLevel="0" collapsed="false">
      <c r="A1766" s="1" t="s">
        <v>569</v>
      </c>
      <c r="C1766" s="3" t="s">
        <v>713</v>
      </c>
      <c r="D1766" s="4" t="s">
        <v>571</v>
      </c>
      <c r="F1766" s="6" t="s">
        <v>714</v>
      </c>
      <c r="G1766" s="7" t="str">
        <f aca="false">HYPERLINK(CONCATENATE("http://crfop.gdos.gov.pl/CRFOP/widok/viewpomnikprzyrody.jsf?fop=","PL.ZIPOP.1393.PP.1061011.174"),"(kliknij lub Ctrl+kliknij)")</f>
        <v>(kliknij lub Ctrl+kliknij)</v>
      </c>
      <c r="H1766" s="0" t="s">
        <v>1075</v>
      </c>
    </row>
    <row r="1767" customFormat="false" ht="12.8" hidden="false" customHeight="false" outlineLevel="0" collapsed="false">
      <c r="A1767" s="1" t="s">
        <v>569</v>
      </c>
      <c r="C1767" s="3" t="s">
        <v>713</v>
      </c>
      <c r="D1767" s="4" t="s">
        <v>571</v>
      </c>
      <c r="F1767" s="6" t="s">
        <v>714</v>
      </c>
      <c r="G1767" s="7" t="str">
        <f aca="false">HYPERLINK(CONCATENATE("http://crfop.gdos.gov.pl/CRFOP/widok/viewpomnikprzyrody.jsf?fop=","PL.ZIPOP.1393.PP.1061011.175"),"(kliknij lub Ctrl+kliknij)")</f>
        <v>(kliknij lub Ctrl+kliknij)</v>
      </c>
      <c r="H1767" s="0" t="s">
        <v>1075</v>
      </c>
    </row>
    <row r="1768" customFormat="false" ht="12.8" hidden="false" customHeight="false" outlineLevel="0" collapsed="false">
      <c r="A1768" s="1" t="s">
        <v>569</v>
      </c>
      <c r="C1768" s="3" t="s">
        <v>713</v>
      </c>
      <c r="D1768" s="4" t="s">
        <v>571</v>
      </c>
      <c r="F1768" s="6" t="s">
        <v>714</v>
      </c>
      <c r="G1768" s="7" t="str">
        <f aca="false">HYPERLINK(CONCATENATE("http://crfop.gdos.gov.pl/CRFOP/widok/viewpomnikprzyrody.jsf?fop=","PL.ZIPOP.1393.PP.1061011.176"),"(kliknij lub Ctrl+kliknij)")</f>
        <v>(kliknij lub Ctrl+kliknij)</v>
      </c>
      <c r="H1768" s="0" t="s">
        <v>1075</v>
      </c>
    </row>
    <row r="1769" customFormat="false" ht="12.8" hidden="false" customHeight="false" outlineLevel="0" collapsed="false">
      <c r="A1769" s="1" t="s">
        <v>569</v>
      </c>
      <c r="C1769" s="3" t="s">
        <v>713</v>
      </c>
      <c r="D1769" s="4" t="s">
        <v>571</v>
      </c>
      <c r="F1769" s="6" t="s">
        <v>714</v>
      </c>
      <c r="G1769" s="7" t="str">
        <f aca="false">HYPERLINK(CONCATENATE("http://crfop.gdos.gov.pl/CRFOP/widok/viewpomnikprzyrody.jsf?fop=","PL.ZIPOP.1393.PP.1061011.177"),"(kliknij lub Ctrl+kliknij)")</f>
        <v>(kliknij lub Ctrl+kliknij)</v>
      </c>
      <c r="H1769" s="0" t="s">
        <v>1075</v>
      </c>
    </row>
    <row r="1770" customFormat="false" ht="12.8" hidden="false" customHeight="false" outlineLevel="0" collapsed="false">
      <c r="A1770" s="1" t="s">
        <v>569</v>
      </c>
      <c r="C1770" s="3" t="s">
        <v>713</v>
      </c>
      <c r="D1770" s="4" t="s">
        <v>571</v>
      </c>
      <c r="F1770" s="6" t="s">
        <v>714</v>
      </c>
      <c r="G1770" s="7" t="str">
        <f aca="false">HYPERLINK(CONCATENATE("http://crfop.gdos.gov.pl/CRFOP/widok/viewpomnikprzyrody.jsf?fop=","PL.ZIPOP.1393.PP.1061011.178"),"(kliknij lub Ctrl+kliknij)")</f>
        <v>(kliknij lub Ctrl+kliknij)</v>
      </c>
      <c r="H1770" s="0" t="s">
        <v>1075</v>
      </c>
    </row>
    <row r="1771" customFormat="false" ht="12.8" hidden="false" customHeight="false" outlineLevel="0" collapsed="false">
      <c r="A1771" s="1" t="s">
        <v>569</v>
      </c>
      <c r="C1771" s="3" t="s">
        <v>713</v>
      </c>
      <c r="D1771" s="4" t="s">
        <v>571</v>
      </c>
      <c r="F1771" s="6" t="s">
        <v>714</v>
      </c>
      <c r="G1771" s="7" t="str">
        <f aca="false">HYPERLINK(CONCATENATE("http://crfop.gdos.gov.pl/CRFOP/widok/viewpomnikprzyrody.jsf?fop=","PL.ZIPOP.1393.PP.1061011.179"),"(kliknij lub Ctrl+kliknij)")</f>
        <v>(kliknij lub Ctrl+kliknij)</v>
      </c>
      <c r="H1771" s="0" t="s">
        <v>1075</v>
      </c>
    </row>
    <row r="1772" customFormat="false" ht="12.8" hidden="false" customHeight="false" outlineLevel="0" collapsed="false">
      <c r="A1772" s="1" t="s">
        <v>569</v>
      </c>
      <c r="C1772" s="3" t="s">
        <v>710</v>
      </c>
      <c r="D1772" s="4" t="s">
        <v>571</v>
      </c>
      <c r="F1772" s="6" t="s">
        <v>711</v>
      </c>
      <c r="G1772" s="7" t="str">
        <f aca="false">HYPERLINK(CONCATENATE("http://crfop.gdos.gov.pl/CRFOP/widok/viewpomnikprzyrody.jsf?fop=","PL.ZIPOP.1393.PP.1061011.17"),"(kliknij lub Ctrl+kliknij)")</f>
        <v>(kliknij lub Ctrl+kliknij)</v>
      </c>
      <c r="H1772" s="0" t="s">
        <v>1075</v>
      </c>
    </row>
    <row r="1773" customFormat="false" ht="12.8" hidden="false" customHeight="false" outlineLevel="0" collapsed="false">
      <c r="A1773" s="1" t="s">
        <v>569</v>
      </c>
      <c r="C1773" s="3" t="s">
        <v>710</v>
      </c>
      <c r="D1773" s="4" t="s">
        <v>571</v>
      </c>
      <c r="F1773" s="6" t="s">
        <v>711</v>
      </c>
      <c r="G1773" s="7" t="str">
        <f aca="false">HYPERLINK(CONCATENATE("http://crfop.gdos.gov.pl/CRFOP/widok/viewpomnikprzyrody.jsf?fop=","PL.ZIPOP.1393.PP.1061011.181"),"(kliknij lub Ctrl+kliknij)")</f>
        <v>(kliknij lub Ctrl+kliknij)</v>
      </c>
      <c r="H1773" s="0" t="s">
        <v>1075</v>
      </c>
    </row>
    <row r="1774" customFormat="false" ht="12.8" hidden="false" customHeight="false" outlineLevel="0" collapsed="false">
      <c r="A1774" s="1" t="s">
        <v>569</v>
      </c>
      <c r="B1774" s="2" t="s">
        <v>924</v>
      </c>
      <c r="C1774" s="3" t="s">
        <v>710</v>
      </c>
      <c r="D1774" s="4" t="s">
        <v>571</v>
      </c>
      <c r="F1774" s="6" t="s">
        <v>711</v>
      </c>
      <c r="G1774" s="7" t="str">
        <f aca="false">HYPERLINK(CONCATENATE("http://crfop.gdos.gov.pl/CRFOP/widok/viewpomnikprzyrody.jsf?fop=","PL.ZIPOP.1393.PP.1061011.183"),"(kliknij lub Ctrl+kliknij)")</f>
        <v>(kliknij lub Ctrl+kliknij)</v>
      </c>
      <c r="H1774" s="0" t="s">
        <v>1075</v>
      </c>
    </row>
    <row r="1775" customFormat="false" ht="12.8" hidden="false" customHeight="false" outlineLevel="0" collapsed="false">
      <c r="A1775" s="1" t="s">
        <v>569</v>
      </c>
      <c r="C1775" s="3" t="s">
        <v>1077</v>
      </c>
      <c r="D1775" s="4" t="s">
        <v>571</v>
      </c>
      <c r="F1775" s="6" t="s">
        <v>1078</v>
      </c>
      <c r="G1775" s="7" t="str">
        <f aca="false">HYPERLINK(CONCATENATE("http://crfop.gdos.gov.pl/CRFOP/widok/viewpomnikprzyrody.jsf?fop=","PL.ZIPOP.1393.PP.1061011.184"),"(kliknij lub Ctrl+kliknij)")</f>
        <v>(kliknij lub Ctrl+kliknij)</v>
      </c>
      <c r="H1775" s="0" t="s">
        <v>1075</v>
      </c>
    </row>
    <row r="1776" customFormat="false" ht="12.8" hidden="false" customHeight="false" outlineLevel="0" collapsed="false">
      <c r="A1776" s="1" t="s">
        <v>569</v>
      </c>
      <c r="C1776" s="3" t="s">
        <v>710</v>
      </c>
      <c r="D1776" s="4" t="s">
        <v>571</v>
      </c>
      <c r="F1776" s="6" t="s">
        <v>711</v>
      </c>
      <c r="G1776" s="7" t="str">
        <f aca="false">HYPERLINK(CONCATENATE("http://crfop.gdos.gov.pl/CRFOP/widok/viewpomnikprzyrody.jsf?fop=","PL.ZIPOP.1393.PP.1061011.185"),"(kliknij lub Ctrl+kliknij)")</f>
        <v>(kliknij lub Ctrl+kliknij)</v>
      </c>
      <c r="H1776" s="0" t="s">
        <v>1075</v>
      </c>
    </row>
    <row r="1777" customFormat="false" ht="12.8" hidden="false" customHeight="false" outlineLevel="0" collapsed="false">
      <c r="A1777" s="1" t="s">
        <v>569</v>
      </c>
      <c r="C1777" s="3" t="s">
        <v>1077</v>
      </c>
      <c r="D1777" s="4" t="s">
        <v>571</v>
      </c>
      <c r="F1777" s="6" t="s">
        <v>1078</v>
      </c>
      <c r="G1777" s="7" t="str">
        <f aca="false">HYPERLINK(CONCATENATE("http://crfop.gdos.gov.pl/CRFOP/widok/viewpomnikprzyrody.jsf?fop=","PL.ZIPOP.1393.PP.1061011.187"),"(kliknij lub Ctrl+kliknij)")</f>
        <v>(kliknij lub Ctrl+kliknij)</v>
      </c>
      <c r="H1777" s="0" t="s">
        <v>1075</v>
      </c>
    </row>
    <row r="1778" customFormat="false" ht="12.8" hidden="false" customHeight="false" outlineLevel="0" collapsed="false">
      <c r="A1778" s="1" t="s">
        <v>569</v>
      </c>
      <c r="C1778" s="3" t="s">
        <v>710</v>
      </c>
      <c r="D1778" s="4" t="s">
        <v>571</v>
      </c>
      <c r="F1778" s="6" t="s">
        <v>711</v>
      </c>
      <c r="G1778" s="7" t="str">
        <f aca="false">HYPERLINK(CONCATENATE("http://crfop.gdos.gov.pl/CRFOP/widok/viewpomnikprzyrody.jsf?fop=","PL.ZIPOP.1393.PP.1061011.188"),"(kliknij lub Ctrl+kliknij)")</f>
        <v>(kliknij lub Ctrl+kliknij)</v>
      </c>
      <c r="H1778" s="0" t="s">
        <v>1075</v>
      </c>
    </row>
    <row r="1779" customFormat="false" ht="12.8" hidden="false" customHeight="false" outlineLevel="0" collapsed="false">
      <c r="A1779" s="1" t="s">
        <v>569</v>
      </c>
      <c r="C1779" s="3" t="s">
        <v>710</v>
      </c>
      <c r="D1779" s="4" t="s">
        <v>571</v>
      </c>
      <c r="F1779" s="6" t="s">
        <v>711</v>
      </c>
      <c r="G1779" s="7" t="str">
        <f aca="false">HYPERLINK(CONCATENATE("http://crfop.gdos.gov.pl/CRFOP/widok/viewpomnikprzyrody.jsf?fop=","PL.ZIPOP.1393.PP.1061011.189"),"(kliknij lub Ctrl+kliknij)")</f>
        <v>(kliknij lub Ctrl+kliknij)</v>
      </c>
      <c r="H1779" s="0" t="s">
        <v>1075</v>
      </c>
    </row>
    <row r="1780" customFormat="false" ht="12.8" hidden="false" customHeight="false" outlineLevel="0" collapsed="false">
      <c r="A1780" s="1" t="s">
        <v>569</v>
      </c>
      <c r="C1780" s="3" t="s">
        <v>710</v>
      </c>
      <c r="D1780" s="4" t="s">
        <v>571</v>
      </c>
      <c r="F1780" s="6" t="s">
        <v>711</v>
      </c>
      <c r="G1780" s="7" t="str">
        <f aca="false">HYPERLINK(CONCATENATE("http://crfop.gdos.gov.pl/CRFOP/widok/viewpomnikprzyrody.jsf?fop=","PL.ZIPOP.1393.PP.1061011.18"),"(kliknij lub Ctrl+kliknij)")</f>
        <v>(kliknij lub Ctrl+kliknij)</v>
      </c>
      <c r="H1780" s="0" t="s">
        <v>1075</v>
      </c>
    </row>
    <row r="1781" customFormat="false" ht="12.8" hidden="false" customHeight="false" outlineLevel="0" collapsed="false">
      <c r="A1781" s="1" t="s">
        <v>569</v>
      </c>
      <c r="C1781" s="3" t="s">
        <v>710</v>
      </c>
      <c r="D1781" s="4" t="s">
        <v>571</v>
      </c>
      <c r="F1781" s="6" t="s">
        <v>711</v>
      </c>
      <c r="G1781" s="7" t="str">
        <f aca="false">HYPERLINK(CONCATENATE("http://crfop.gdos.gov.pl/CRFOP/widok/viewpomnikprzyrody.jsf?fop=","PL.ZIPOP.1393.PP.1061011.191"),"(kliknij lub Ctrl+kliknij)")</f>
        <v>(kliknij lub Ctrl+kliknij)</v>
      </c>
      <c r="H1781" s="0" t="s">
        <v>1075</v>
      </c>
    </row>
    <row r="1782" customFormat="false" ht="12.8" hidden="false" customHeight="false" outlineLevel="0" collapsed="false">
      <c r="A1782" s="1" t="s">
        <v>569</v>
      </c>
      <c r="C1782" s="3" t="s">
        <v>710</v>
      </c>
      <c r="D1782" s="4" t="s">
        <v>571</v>
      </c>
      <c r="F1782" s="6" t="s">
        <v>711</v>
      </c>
      <c r="G1782" s="7" t="str">
        <f aca="false">HYPERLINK(CONCATENATE("http://crfop.gdos.gov.pl/CRFOP/widok/viewpomnikprzyrody.jsf?fop=","PL.ZIPOP.1393.PP.1061011.192"),"(kliknij lub Ctrl+kliknij)")</f>
        <v>(kliknij lub Ctrl+kliknij)</v>
      </c>
      <c r="H1782" s="0" t="s">
        <v>1075</v>
      </c>
    </row>
    <row r="1783" customFormat="false" ht="12.8" hidden="false" customHeight="false" outlineLevel="0" collapsed="false">
      <c r="A1783" s="1" t="s">
        <v>569</v>
      </c>
      <c r="C1783" s="3" t="s">
        <v>710</v>
      </c>
      <c r="D1783" s="4" t="s">
        <v>571</v>
      </c>
      <c r="F1783" s="6" t="s">
        <v>711</v>
      </c>
      <c r="G1783" s="7" t="str">
        <f aca="false">HYPERLINK(CONCATENATE("http://crfop.gdos.gov.pl/CRFOP/widok/viewpomnikprzyrody.jsf?fop=","PL.ZIPOP.1393.PP.1061011.193"),"(kliknij lub Ctrl+kliknij)")</f>
        <v>(kliknij lub Ctrl+kliknij)</v>
      </c>
      <c r="H1783" s="0" t="s">
        <v>1075</v>
      </c>
    </row>
    <row r="1784" customFormat="false" ht="12.8" hidden="false" customHeight="false" outlineLevel="0" collapsed="false">
      <c r="A1784" s="1" t="s">
        <v>569</v>
      </c>
      <c r="C1784" s="3" t="s">
        <v>710</v>
      </c>
      <c r="D1784" s="4" t="s">
        <v>571</v>
      </c>
      <c r="F1784" s="6" t="s">
        <v>711</v>
      </c>
      <c r="G1784" s="7" t="str">
        <f aca="false">HYPERLINK(CONCATENATE("http://crfop.gdos.gov.pl/CRFOP/widok/viewpomnikprzyrody.jsf?fop=","PL.ZIPOP.1393.PP.1061011.195"),"(kliknij lub Ctrl+kliknij)")</f>
        <v>(kliknij lub Ctrl+kliknij)</v>
      </c>
      <c r="H1784" s="0" t="s">
        <v>1075</v>
      </c>
    </row>
    <row r="1785" customFormat="false" ht="12.8" hidden="false" customHeight="false" outlineLevel="0" collapsed="false">
      <c r="A1785" s="1" t="s">
        <v>569</v>
      </c>
      <c r="C1785" s="3" t="s">
        <v>710</v>
      </c>
      <c r="D1785" s="4" t="s">
        <v>571</v>
      </c>
      <c r="F1785" s="6" t="s">
        <v>711</v>
      </c>
      <c r="G1785" s="7" t="str">
        <f aca="false">HYPERLINK(CONCATENATE("http://crfop.gdos.gov.pl/CRFOP/widok/viewpomnikprzyrody.jsf?fop=","PL.ZIPOP.1393.PP.1061011.196"),"(kliknij lub Ctrl+kliknij)")</f>
        <v>(kliknij lub Ctrl+kliknij)</v>
      </c>
      <c r="H1785" s="0" t="s">
        <v>1075</v>
      </c>
    </row>
    <row r="1786" customFormat="false" ht="12.8" hidden="false" customHeight="false" outlineLevel="0" collapsed="false">
      <c r="A1786" s="1" t="s">
        <v>569</v>
      </c>
      <c r="C1786" s="3" t="s">
        <v>710</v>
      </c>
      <c r="D1786" s="4" t="s">
        <v>571</v>
      </c>
      <c r="F1786" s="6" t="s">
        <v>711</v>
      </c>
      <c r="G1786" s="7" t="str">
        <f aca="false">HYPERLINK(CONCATENATE("http://crfop.gdos.gov.pl/CRFOP/widok/viewpomnikprzyrody.jsf?fop=","PL.ZIPOP.1393.PP.1061011.197"),"(kliknij lub Ctrl+kliknij)")</f>
        <v>(kliknij lub Ctrl+kliknij)</v>
      </c>
      <c r="H1786" s="0" t="s">
        <v>1075</v>
      </c>
    </row>
    <row r="1787" customFormat="false" ht="12.8" hidden="false" customHeight="false" outlineLevel="0" collapsed="false">
      <c r="A1787" s="1" t="s">
        <v>569</v>
      </c>
      <c r="C1787" s="3" t="s">
        <v>710</v>
      </c>
      <c r="D1787" s="4" t="s">
        <v>571</v>
      </c>
      <c r="F1787" s="6" t="s">
        <v>711</v>
      </c>
      <c r="G1787" s="7" t="str">
        <f aca="false">HYPERLINK(CONCATENATE("http://crfop.gdos.gov.pl/CRFOP/widok/viewpomnikprzyrody.jsf?fop=","PL.ZIPOP.1393.PP.1061011.198"),"(kliknij lub Ctrl+kliknij)")</f>
        <v>(kliknij lub Ctrl+kliknij)</v>
      </c>
      <c r="H1787" s="0" t="s">
        <v>1075</v>
      </c>
    </row>
    <row r="1788" customFormat="false" ht="12.8" hidden="false" customHeight="false" outlineLevel="0" collapsed="false">
      <c r="A1788" s="1" t="s">
        <v>569</v>
      </c>
      <c r="C1788" s="3" t="s">
        <v>710</v>
      </c>
      <c r="D1788" s="4" t="s">
        <v>571</v>
      </c>
      <c r="F1788" s="6" t="s">
        <v>1081</v>
      </c>
      <c r="G1788" s="7" t="str">
        <f aca="false">HYPERLINK(CONCATENATE("http://crfop.gdos.gov.pl/CRFOP/widok/viewpomnikprzyrody.jsf?fop=","PL.ZIPOP.1393.PP.1061011.199"),"(kliknij lub Ctrl+kliknij)")</f>
        <v>(kliknij lub Ctrl+kliknij)</v>
      </c>
      <c r="H1788" s="0" t="s">
        <v>1075</v>
      </c>
    </row>
    <row r="1789" customFormat="false" ht="12.8" hidden="false" customHeight="false" outlineLevel="0" collapsed="false">
      <c r="A1789" s="1" t="s">
        <v>569</v>
      </c>
      <c r="C1789" s="3" t="s">
        <v>710</v>
      </c>
      <c r="D1789" s="4" t="s">
        <v>571</v>
      </c>
      <c r="F1789" s="6" t="s">
        <v>711</v>
      </c>
      <c r="G1789" s="7" t="str">
        <f aca="false">HYPERLINK(CONCATENATE("http://crfop.gdos.gov.pl/CRFOP/widok/viewpomnikprzyrody.jsf?fop=","PL.ZIPOP.1393.PP.1061011.19"),"(kliknij lub Ctrl+kliknij)")</f>
        <v>(kliknij lub Ctrl+kliknij)</v>
      </c>
      <c r="H1789" s="0" t="s">
        <v>1075</v>
      </c>
    </row>
    <row r="1790" customFormat="false" ht="12.8" hidden="false" customHeight="false" outlineLevel="0" collapsed="false">
      <c r="A1790" s="1" t="s">
        <v>569</v>
      </c>
      <c r="C1790" s="3" t="s">
        <v>710</v>
      </c>
      <c r="D1790" s="4" t="s">
        <v>571</v>
      </c>
      <c r="F1790" s="6" t="s">
        <v>711</v>
      </c>
      <c r="G1790" s="7" t="str">
        <f aca="false">HYPERLINK(CONCATENATE("http://crfop.gdos.gov.pl/CRFOP/widok/viewpomnikprzyrody.jsf?fop=","PL.ZIPOP.1393.PP.1061011.1"),"(kliknij lub Ctrl+kliknij)")</f>
        <v>(kliknij lub Ctrl+kliknij)</v>
      </c>
      <c r="H1790" s="0" t="s">
        <v>1075</v>
      </c>
    </row>
    <row r="1791" customFormat="false" ht="12.8" hidden="false" customHeight="false" outlineLevel="0" collapsed="false">
      <c r="A1791" s="1" t="s">
        <v>569</v>
      </c>
      <c r="C1791" s="3" t="s">
        <v>710</v>
      </c>
      <c r="D1791" s="4" t="s">
        <v>571</v>
      </c>
      <c r="F1791" s="6" t="s">
        <v>711</v>
      </c>
      <c r="G1791" s="7" t="str">
        <f aca="false">HYPERLINK(CONCATENATE("http://crfop.gdos.gov.pl/CRFOP/widok/viewpomnikprzyrody.jsf?fop=","PL.ZIPOP.1393.PP.1061011.200"),"(kliknij lub Ctrl+kliknij)")</f>
        <v>(kliknij lub Ctrl+kliknij)</v>
      </c>
      <c r="H1791" s="0" t="s">
        <v>1075</v>
      </c>
    </row>
    <row r="1792" customFormat="false" ht="12.8" hidden="false" customHeight="false" outlineLevel="0" collapsed="false">
      <c r="A1792" s="1" t="s">
        <v>569</v>
      </c>
      <c r="C1792" s="3" t="s">
        <v>710</v>
      </c>
      <c r="D1792" s="4" t="s">
        <v>571</v>
      </c>
      <c r="F1792" s="6" t="s">
        <v>711</v>
      </c>
      <c r="G1792" s="7" t="str">
        <f aca="false">HYPERLINK(CONCATENATE("http://crfop.gdos.gov.pl/CRFOP/widok/viewpomnikprzyrody.jsf?fop=","PL.ZIPOP.1393.PP.1061011.202"),"(kliknij lub Ctrl+kliknij)")</f>
        <v>(kliknij lub Ctrl+kliknij)</v>
      </c>
      <c r="H1792" s="0" t="s">
        <v>1075</v>
      </c>
    </row>
    <row r="1793" customFormat="false" ht="12.8" hidden="false" customHeight="false" outlineLevel="0" collapsed="false">
      <c r="A1793" s="1" t="s">
        <v>569</v>
      </c>
      <c r="C1793" s="3" t="s">
        <v>1079</v>
      </c>
      <c r="D1793" s="4" t="s">
        <v>571</v>
      </c>
      <c r="F1793" s="6" t="s">
        <v>1080</v>
      </c>
      <c r="G1793" s="7" t="str">
        <f aca="false">HYPERLINK(CONCATENATE("http://crfop.gdos.gov.pl/CRFOP/widok/viewpomnikprzyrody.jsf?fop=","PL.ZIPOP.1393.PP.1061011.204"),"(kliknij lub Ctrl+kliknij)")</f>
        <v>(kliknij lub Ctrl+kliknij)</v>
      </c>
      <c r="H1793" s="0" t="s">
        <v>1075</v>
      </c>
    </row>
    <row r="1794" customFormat="false" ht="12.8" hidden="false" customHeight="false" outlineLevel="0" collapsed="false">
      <c r="A1794" s="1" t="s">
        <v>569</v>
      </c>
      <c r="C1794" s="3" t="s">
        <v>710</v>
      </c>
      <c r="D1794" s="4" t="s">
        <v>571</v>
      </c>
      <c r="F1794" s="6" t="s">
        <v>711</v>
      </c>
      <c r="G1794" s="7" t="str">
        <f aca="false">HYPERLINK(CONCATENATE("http://crfop.gdos.gov.pl/CRFOP/widok/viewpomnikprzyrody.jsf?fop=","PL.ZIPOP.1393.PP.1061011.207"),"(kliknij lub Ctrl+kliknij)")</f>
        <v>(kliknij lub Ctrl+kliknij)</v>
      </c>
      <c r="H1794" s="0" t="s">
        <v>1075</v>
      </c>
    </row>
    <row r="1795" customFormat="false" ht="12.8" hidden="false" customHeight="false" outlineLevel="0" collapsed="false">
      <c r="A1795" s="1" t="s">
        <v>569</v>
      </c>
      <c r="C1795" s="3" t="s">
        <v>707</v>
      </c>
      <c r="D1795" s="4" t="s">
        <v>571</v>
      </c>
      <c r="F1795" s="6" t="s">
        <v>1082</v>
      </c>
      <c r="G1795" s="7" t="str">
        <f aca="false">HYPERLINK(CONCATENATE("http://crfop.gdos.gov.pl/CRFOP/widok/viewpomnikprzyrody.jsf?fop=","PL.ZIPOP.1393.PP.1061011.208"),"(kliknij lub Ctrl+kliknij)")</f>
        <v>(kliknij lub Ctrl+kliknij)</v>
      </c>
      <c r="H1795" s="0" t="s">
        <v>1075</v>
      </c>
    </row>
    <row r="1796" customFormat="false" ht="12.8" hidden="false" customHeight="false" outlineLevel="0" collapsed="false">
      <c r="A1796" s="1" t="s">
        <v>569</v>
      </c>
      <c r="C1796" s="3" t="s">
        <v>1083</v>
      </c>
      <c r="D1796" s="4" t="s">
        <v>571</v>
      </c>
      <c r="F1796" s="6" t="s">
        <v>708</v>
      </c>
      <c r="G1796" s="7" t="str">
        <f aca="false">HYPERLINK(CONCATENATE("http://crfop.gdos.gov.pl/CRFOP/widok/viewpomnikprzyrody.jsf?fop=","PL.ZIPOP.1393.PP.1061011.210"),"(kliknij lub Ctrl+kliknij)")</f>
        <v>(kliknij lub Ctrl+kliknij)</v>
      </c>
      <c r="H1796" s="0" t="s">
        <v>1075</v>
      </c>
    </row>
    <row r="1797" customFormat="false" ht="12.8" hidden="false" customHeight="false" outlineLevel="0" collapsed="false">
      <c r="A1797" s="1" t="s">
        <v>569</v>
      </c>
      <c r="B1797" s="2" t="s">
        <v>1084</v>
      </c>
      <c r="C1797" s="3" t="s">
        <v>1083</v>
      </c>
      <c r="D1797" s="4" t="s">
        <v>571</v>
      </c>
      <c r="F1797" s="6" t="s">
        <v>708</v>
      </c>
      <c r="G1797" s="7" t="str">
        <f aca="false">HYPERLINK(CONCATENATE("http://crfop.gdos.gov.pl/CRFOP/widok/viewpomnikprzyrody.jsf?fop=","PL.ZIPOP.1393.PP.1061011.211"),"(kliknij lub Ctrl+kliknij)")</f>
        <v>(kliknij lub Ctrl+kliknij)</v>
      </c>
      <c r="H1797" s="0" t="s">
        <v>1075</v>
      </c>
    </row>
    <row r="1798" customFormat="false" ht="12.8" hidden="false" customHeight="false" outlineLevel="0" collapsed="false">
      <c r="A1798" s="1" t="s">
        <v>569</v>
      </c>
      <c r="C1798" s="3" t="s">
        <v>1083</v>
      </c>
      <c r="D1798" s="4" t="s">
        <v>571</v>
      </c>
      <c r="F1798" s="6" t="s">
        <v>708</v>
      </c>
      <c r="G1798" s="7" t="str">
        <f aca="false">HYPERLINK(CONCATENATE("http://crfop.gdos.gov.pl/CRFOP/widok/viewpomnikprzyrody.jsf?fop=","PL.ZIPOP.1393.PP.1061011.215"),"(kliknij lub Ctrl+kliknij)")</f>
        <v>(kliknij lub Ctrl+kliknij)</v>
      </c>
      <c r="H1798" s="0" t="s">
        <v>1075</v>
      </c>
    </row>
    <row r="1799" customFormat="false" ht="12.8" hidden="false" customHeight="false" outlineLevel="0" collapsed="false">
      <c r="A1799" s="1" t="s">
        <v>569</v>
      </c>
      <c r="C1799" s="3" t="s">
        <v>1083</v>
      </c>
      <c r="D1799" s="4" t="s">
        <v>571</v>
      </c>
      <c r="F1799" s="6" t="s">
        <v>708</v>
      </c>
      <c r="G1799" s="7" t="str">
        <f aca="false">HYPERLINK(CONCATENATE("http://crfop.gdos.gov.pl/CRFOP/widok/viewpomnikprzyrody.jsf?fop=","PL.ZIPOP.1393.PP.1061011.216"),"(kliknij lub Ctrl+kliknij)")</f>
        <v>(kliknij lub Ctrl+kliknij)</v>
      </c>
      <c r="H1799" s="0" t="s">
        <v>1075</v>
      </c>
    </row>
    <row r="1800" customFormat="false" ht="12.8" hidden="false" customHeight="false" outlineLevel="0" collapsed="false">
      <c r="A1800" s="1" t="s">
        <v>569</v>
      </c>
      <c r="C1800" s="3" t="s">
        <v>1083</v>
      </c>
      <c r="D1800" s="4" t="s">
        <v>571</v>
      </c>
      <c r="F1800" s="6" t="s">
        <v>708</v>
      </c>
      <c r="G1800" s="7" t="str">
        <f aca="false">HYPERLINK(CONCATENATE("http://crfop.gdos.gov.pl/CRFOP/widok/viewpomnikprzyrody.jsf?fop=","PL.ZIPOP.1393.PP.1061011.217"),"(kliknij lub Ctrl+kliknij)")</f>
        <v>(kliknij lub Ctrl+kliknij)</v>
      </c>
      <c r="H1800" s="0" t="s">
        <v>1075</v>
      </c>
    </row>
    <row r="1801" customFormat="false" ht="12.8" hidden="false" customHeight="false" outlineLevel="0" collapsed="false">
      <c r="A1801" s="1" t="s">
        <v>569</v>
      </c>
      <c r="C1801" s="3" t="s">
        <v>1083</v>
      </c>
      <c r="D1801" s="4" t="s">
        <v>571</v>
      </c>
      <c r="F1801" s="6" t="s">
        <v>708</v>
      </c>
      <c r="G1801" s="7" t="str">
        <f aca="false">HYPERLINK(CONCATENATE("http://crfop.gdos.gov.pl/CRFOP/widok/viewpomnikprzyrody.jsf?fop=","PL.ZIPOP.1393.PP.1061011.219"),"(kliknij lub Ctrl+kliknij)")</f>
        <v>(kliknij lub Ctrl+kliknij)</v>
      </c>
      <c r="H1801" s="0" t="s">
        <v>1075</v>
      </c>
    </row>
    <row r="1802" customFormat="false" ht="12.8" hidden="false" customHeight="false" outlineLevel="0" collapsed="false">
      <c r="A1802" s="1" t="s">
        <v>569</v>
      </c>
      <c r="C1802" s="3" t="s">
        <v>710</v>
      </c>
      <c r="D1802" s="4" t="s">
        <v>571</v>
      </c>
      <c r="F1802" s="6" t="s">
        <v>711</v>
      </c>
      <c r="G1802" s="7" t="str">
        <f aca="false">HYPERLINK(CONCATENATE("http://crfop.gdos.gov.pl/CRFOP/widok/viewpomnikprzyrody.jsf?fop=","PL.ZIPOP.1393.PP.1061011.21"),"(kliknij lub Ctrl+kliknij)")</f>
        <v>(kliknij lub Ctrl+kliknij)</v>
      </c>
      <c r="H1802" s="0" t="s">
        <v>1075</v>
      </c>
    </row>
    <row r="1803" customFormat="false" ht="12.8" hidden="false" customHeight="false" outlineLevel="0" collapsed="false">
      <c r="A1803" s="1" t="s">
        <v>569</v>
      </c>
      <c r="C1803" s="3" t="s">
        <v>1083</v>
      </c>
      <c r="D1803" s="4" t="s">
        <v>571</v>
      </c>
      <c r="F1803" s="6" t="s">
        <v>708</v>
      </c>
      <c r="G1803" s="7" t="str">
        <f aca="false">HYPERLINK(CONCATENATE("http://crfop.gdos.gov.pl/CRFOP/widok/viewpomnikprzyrody.jsf?fop=","PL.ZIPOP.1393.PP.1061011.220"),"(kliknij lub Ctrl+kliknij)")</f>
        <v>(kliknij lub Ctrl+kliknij)</v>
      </c>
      <c r="H1803" s="0" t="s">
        <v>1075</v>
      </c>
    </row>
    <row r="1804" customFormat="false" ht="12.8" hidden="false" customHeight="false" outlineLevel="0" collapsed="false">
      <c r="A1804" s="1" t="s">
        <v>569</v>
      </c>
      <c r="C1804" s="3" t="s">
        <v>1083</v>
      </c>
      <c r="D1804" s="4" t="s">
        <v>571</v>
      </c>
      <c r="F1804" s="6" t="s">
        <v>708</v>
      </c>
      <c r="G1804" s="7" t="str">
        <f aca="false">HYPERLINK(CONCATENATE("http://crfop.gdos.gov.pl/CRFOP/widok/viewpomnikprzyrody.jsf?fop=","PL.ZIPOP.1393.PP.1061011.221"),"(kliknij lub Ctrl+kliknij)")</f>
        <v>(kliknij lub Ctrl+kliknij)</v>
      </c>
      <c r="H1804" s="0" t="s">
        <v>1075</v>
      </c>
    </row>
    <row r="1805" customFormat="false" ht="12.8" hidden="false" customHeight="false" outlineLevel="0" collapsed="false">
      <c r="A1805" s="1" t="s">
        <v>569</v>
      </c>
      <c r="C1805" s="3" t="s">
        <v>1083</v>
      </c>
      <c r="D1805" s="4" t="s">
        <v>571</v>
      </c>
      <c r="F1805" s="6" t="s">
        <v>708</v>
      </c>
      <c r="G1805" s="7" t="str">
        <f aca="false">HYPERLINK(CONCATENATE("http://crfop.gdos.gov.pl/CRFOP/widok/viewpomnikprzyrody.jsf?fop=","PL.ZIPOP.1393.PP.1061011.222"),"(kliknij lub Ctrl+kliknij)")</f>
        <v>(kliknij lub Ctrl+kliknij)</v>
      </c>
      <c r="H1805" s="0" t="s">
        <v>1075</v>
      </c>
    </row>
    <row r="1806" customFormat="false" ht="12.8" hidden="false" customHeight="false" outlineLevel="0" collapsed="false">
      <c r="A1806" s="1" t="s">
        <v>569</v>
      </c>
      <c r="C1806" s="3" t="s">
        <v>713</v>
      </c>
      <c r="D1806" s="4" t="s">
        <v>571</v>
      </c>
      <c r="F1806" s="6" t="s">
        <v>714</v>
      </c>
      <c r="G1806" s="7" t="str">
        <f aca="false">HYPERLINK(CONCATENATE("http://crfop.gdos.gov.pl/CRFOP/widok/viewpomnikprzyrody.jsf?fop=","PL.ZIPOP.1393.PP.1061011.223"),"(kliknij lub Ctrl+kliknij)")</f>
        <v>(kliknij lub Ctrl+kliknij)</v>
      </c>
      <c r="H1806" s="0" t="s">
        <v>1075</v>
      </c>
    </row>
    <row r="1807" customFormat="false" ht="12.8" hidden="false" customHeight="false" outlineLevel="0" collapsed="false">
      <c r="A1807" s="1" t="s">
        <v>569</v>
      </c>
      <c r="C1807" s="3" t="s">
        <v>713</v>
      </c>
      <c r="D1807" s="4" t="s">
        <v>571</v>
      </c>
      <c r="F1807" s="6" t="s">
        <v>714</v>
      </c>
      <c r="G1807" s="7" t="str">
        <f aca="false">HYPERLINK(CONCATENATE("http://crfop.gdos.gov.pl/CRFOP/widok/viewpomnikprzyrody.jsf?fop=","PL.ZIPOP.1393.PP.1061011.224"),"(kliknij lub Ctrl+kliknij)")</f>
        <v>(kliknij lub Ctrl+kliknij)</v>
      </c>
      <c r="H1807" s="0" t="s">
        <v>1075</v>
      </c>
    </row>
    <row r="1808" customFormat="false" ht="12.8" hidden="false" customHeight="false" outlineLevel="0" collapsed="false">
      <c r="A1808" s="1" t="s">
        <v>569</v>
      </c>
      <c r="C1808" s="3" t="s">
        <v>713</v>
      </c>
      <c r="D1808" s="4" t="s">
        <v>571</v>
      </c>
      <c r="F1808" s="6" t="s">
        <v>714</v>
      </c>
      <c r="G1808" s="7" t="str">
        <f aca="false">HYPERLINK(CONCATENATE("http://crfop.gdos.gov.pl/CRFOP/widok/viewpomnikprzyrody.jsf?fop=","PL.ZIPOP.1393.PP.1061011.225"),"(kliknij lub Ctrl+kliknij)")</f>
        <v>(kliknij lub Ctrl+kliknij)</v>
      </c>
      <c r="H1808" s="0" t="s">
        <v>1075</v>
      </c>
    </row>
    <row r="1809" customFormat="false" ht="12.8" hidden="false" customHeight="false" outlineLevel="0" collapsed="false">
      <c r="A1809" s="1" t="s">
        <v>569</v>
      </c>
      <c r="C1809" s="3" t="s">
        <v>713</v>
      </c>
      <c r="D1809" s="4" t="s">
        <v>571</v>
      </c>
      <c r="F1809" s="6" t="s">
        <v>714</v>
      </c>
      <c r="G1809" s="7" t="str">
        <f aca="false">HYPERLINK(CONCATENATE("http://crfop.gdos.gov.pl/CRFOP/widok/viewpomnikprzyrody.jsf?fop=","PL.ZIPOP.1393.PP.1061011.226"),"(kliknij lub Ctrl+kliknij)")</f>
        <v>(kliknij lub Ctrl+kliknij)</v>
      </c>
      <c r="H1809" s="0" t="s">
        <v>1075</v>
      </c>
    </row>
    <row r="1810" customFormat="false" ht="12.8" hidden="false" customHeight="false" outlineLevel="0" collapsed="false">
      <c r="A1810" s="1" t="s">
        <v>569</v>
      </c>
      <c r="C1810" s="3" t="s">
        <v>713</v>
      </c>
      <c r="D1810" s="4" t="s">
        <v>571</v>
      </c>
      <c r="F1810" s="6" t="s">
        <v>714</v>
      </c>
      <c r="G1810" s="7" t="str">
        <f aca="false">HYPERLINK(CONCATENATE("http://crfop.gdos.gov.pl/CRFOP/widok/viewpomnikprzyrody.jsf?fop=","PL.ZIPOP.1393.PP.1061011.227"),"(kliknij lub Ctrl+kliknij)")</f>
        <v>(kliknij lub Ctrl+kliknij)</v>
      </c>
      <c r="H1810" s="0" t="s">
        <v>1075</v>
      </c>
    </row>
    <row r="1811" customFormat="false" ht="12.8" hidden="false" customHeight="false" outlineLevel="0" collapsed="false">
      <c r="A1811" s="1" t="s">
        <v>569</v>
      </c>
      <c r="C1811" s="3" t="s">
        <v>713</v>
      </c>
      <c r="D1811" s="4" t="s">
        <v>571</v>
      </c>
      <c r="F1811" s="6" t="s">
        <v>714</v>
      </c>
      <c r="G1811" s="7" t="str">
        <f aca="false">HYPERLINK(CONCATENATE("http://crfop.gdos.gov.pl/CRFOP/widok/viewpomnikprzyrody.jsf?fop=","PL.ZIPOP.1393.PP.1061011.228"),"(kliknij lub Ctrl+kliknij)")</f>
        <v>(kliknij lub Ctrl+kliknij)</v>
      </c>
      <c r="H1811" s="0" t="s">
        <v>1075</v>
      </c>
    </row>
    <row r="1812" customFormat="false" ht="12.8" hidden="false" customHeight="false" outlineLevel="0" collapsed="false">
      <c r="A1812" s="1" t="s">
        <v>569</v>
      </c>
      <c r="C1812" s="3" t="s">
        <v>713</v>
      </c>
      <c r="D1812" s="4" t="s">
        <v>571</v>
      </c>
      <c r="F1812" s="6" t="s">
        <v>714</v>
      </c>
      <c r="G1812" s="7" t="str">
        <f aca="false">HYPERLINK(CONCATENATE("http://crfop.gdos.gov.pl/CRFOP/widok/viewpomnikprzyrody.jsf?fop=","PL.ZIPOP.1393.PP.1061011.229"),"(kliknij lub Ctrl+kliknij)")</f>
        <v>(kliknij lub Ctrl+kliknij)</v>
      </c>
      <c r="H1812" s="0" t="s">
        <v>1075</v>
      </c>
    </row>
    <row r="1813" customFormat="false" ht="12.8" hidden="false" customHeight="false" outlineLevel="0" collapsed="false">
      <c r="A1813" s="1" t="s">
        <v>569</v>
      </c>
      <c r="C1813" s="3" t="s">
        <v>710</v>
      </c>
      <c r="D1813" s="4" t="s">
        <v>571</v>
      </c>
      <c r="F1813" s="6" t="s">
        <v>711</v>
      </c>
      <c r="G1813" s="7" t="str">
        <f aca="false">HYPERLINK(CONCATENATE("http://crfop.gdos.gov.pl/CRFOP/widok/viewpomnikprzyrody.jsf?fop=","PL.ZIPOP.1393.PP.1061011.22"),"(kliknij lub Ctrl+kliknij)")</f>
        <v>(kliknij lub Ctrl+kliknij)</v>
      </c>
      <c r="H1813" s="0" t="s">
        <v>1075</v>
      </c>
    </row>
    <row r="1814" customFormat="false" ht="12.8" hidden="false" customHeight="false" outlineLevel="0" collapsed="false">
      <c r="A1814" s="1" t="s">
        <v>569</v>
      </c>
      <c r="C1814" s="3" t="s">
        <v>713</v>
      </c>
      <c r="D1814" s="4" t="s">
        <v>571</v>
      </c>
      <c r="F1814" s="6" t="s">
        <v>714</v>
      </c>
      <c r="G1814" s="7" t="str">
        <f aca="false">HYPERLINK(CONCATENATE("http://crfop.gdos.gov.pl/CRFOP/widok/viewpomnikprzyrody.jsf?fop=","PL.ZIPOP.1393.PP.1061011.230"),"(kliknij lub Ctrl+kliknij)")</f>
        <v>(kliknij lub Ctrl+kliknij)</v>
      </c>
      <c r="H1814" s="0" t="s">
        <v>1075</v>
      </c>
    </row>
    <row r="1815" customFormat="false" ht="12.8" hidden="false" customHeight="false" outlineLevel="0" collapsed="false">
      <c r="A1815" s="1" t="s">
        <v>569</v>
      </c>
      <c r="C1815" s="3" t="s">
        <v>713</v>
      </c>
      <c r="D1815" s="4" t="s">
        <v>571</v>
      </c>
      <c r="F1815" s="6" t="s">
        <v>714</v>
      </c>
      <c r="G1815" s="7" t="str">
        <f aca="false">HYPERLINK(CONCATENATE("http://crfop.gdos.gov.pl/CRFOP/widok/viewpomnikprzyrody.jsf?fop=","PL.ZIPOP.1393.PP.1061011.231"),"(kliknij lub Ctrl+kliknij)")</f>
        <v>(kliknij lub Ctrl+kliknij)</v>
      </c>
      <c r="H1815" s="0" t="s">
        <v>1075</v>
      </c>
    </row>
    <row r="1816" customFormat="false" ht="12.8" hidden="false" customHeight="false" outlineLevel="0" collapsed="false">
      <c r="A1816" s="1" t="s">
        <v>569</v>
      </c>
      <c r="C1816" s="3" t="s">
        <v>713</v>
      </c>
      <c r="D1816" s="4" t="s">
        <v>571</v>
      </c>
      <c r="F1816" s="6" t="s">
        <v>714</v>
      </c>
      <c r="G1816" s="7" t="str">
        <f aca="false">HYPERLINK(CONCATENATE("http://crfop.gdos.gov.pl/CRFOP/widok/viewpomnikprzyrody.jsf?fop=","PL.ZIPOP.1393.PP.1061011.232"),"(kliknij lub Ctrl+kliknij)")</f>
        <v>(kliknij lub Ctrl+kliknij)</v>
      </c>
      <c r="H1816" s="0" t="s">
        <v>1075</v>
      </c>
    </row>
    <row r="1817" customFormat="false" ht="12.8" hidden="false" customHeight="false" outlineLevel="0" collapsed="false">
      <c r="A1817" s="1" t="s">
        <v>569</v>
      </c>
      <c r="C1817" s="3" t="s">
        <v>1079</v>
      </c>
      <c r="D1817" s="4" t="s">
        <v>571</v>
      </c>
      <c r="F1817" s="6" t="s">
        <v>1080</v>
      </c>
      <c r="G1817" s="7" t="str">
        <f aca="false">HYPERLINK(CONCATENATE("http://crfop.gdos.gov.pl/CRFOP/widok/viewpomnikprzyrody.jsf?fop=","PL.ZIPOP.1393.PP.1061011.237"),"(kliknij lub Ctrl+kliknij)")</f>
        <v>(kliknij lub Ctrl+kliknij)</v>
      </c>
      <c r="H1817" s="0" t="s">
        <v>1075</v>
      </c>
    </row>
    <row r="1818" customFormat="false" ht="12.8" hidden="false" customHeight="false" outlineLevel="0" collapsed="false">
      <c r="A1818" s="1" t="s">
        <v>569</v>
      </c>
      <c r="C1818" s="3" t="s">
        <v>713</v>
      </c>
      <c r="D1818" s="4" t="s">
        <v>571</v>
      </c>
      <c r="F1818" s="6" t="s">
        <v>714</v>
      </c>
      <c r="G1818" s="7" t="str">
        <f aca="false">HYPERLINK(CONCATENATE("http://crfop.gdos.gov.pl/CRFOP/widok/viewpomnikprzyrody.jsf?fop=","PL.ZIPOP.1393.PP.1061011.238"),"(kliknij lub Ctrl+kliknij)")</f>
        <v>(kliknij lub Ctrl+kliknij)</v>
      </c>
      <c r="H1818" s="0" t="s">
        <v>1075</v>
      </c>
    </row>
    <row r="1819" customFormat="false" ht="12.8" hidden="false" customHeight="false" outlineLevel="0" collapsed="false">
      <c r="A1819" s="1" t="s">
        <v>569</v>
      </c>
      <c r="C1819" s="3" t="s">
        <v>713</v>
      </c>
      <c r="D1819" s="4" t="s">
        <v>571</v>
      </c>
      <c r="F1819" s="6" t="s">
        <v>714</v>
      </c>
      <c r="G1819" s="7" t="str">
        <f aca="false">HYPERLINK(CONCATENATE("http://crfop.gdos.gov.pl/CRFOP/widok/viewpomnikprzyrody.jsf?fop=","PL.ZIPOP.1393.PP.1061011.239"),"(kliknij lub Ctrl+kliknij)")</f>
        <v>(kliknij lub Ctrl+kliknij)</v>
      </c>
      <c r="H1819" s="0" t="s">
        <v>1075</v>
      </c>
    </row>
    <row r="1820" customFormat="false" ht="12.8" hidden="false" customHeight="false" outlineLevel="0" collapsed="false">
      <c r="A1820" s="1" t="s">
        <v>569</v>
      </c>
      <c r="C1820" s="3" t="s">
        <v>710</v>
      </c>
      <c r="D1820" s="4" t="s">
        <v>571</v>
      </c>
      <c r="F1820" s="6" t="s">
        <v>711</v>
      </c>
      <c r="G1820" s="7" t="str">
        <f aca="false">HYPERLINK(CONCATENATE("http://crfop.gdos.gov.pl/CRFOP/widok/viewpomnikprzyrody.jsf?fop=","PL.ZIPOP.1393.PP.1061011.23"),"(kliknij lub Ctrl+kliknij)")</f>
        <v>(kliknij lub Ctrl+kliknij)</v>
      </c>
      <c r="H1820" s="0" t="s">
        <v>1075</v>
      </c>
    </row>
    <row r="1821" customFormat="false" ht="12.8" hidden="false" customHeight="false" outlineLevel="0" collapsed="false">
      <c r="A1821" s="1" t="s">
        <v>569</v>
      </c>
      <c r="C1821" s="3" t="s">
        <v>1079</v>
      </c>
      <c r="D1821" s="4" t="s">
        <v>571</v>
      </c>
      <c r="F1821" s="6" t="s">
        <v>1080</v>
      </c>
      <c r="G1821" s="7" t="str">
        <f aca="false">HYPERLINK(CONCATENATE("http://crfop.gdos.gov.pl/CRFOP/widok/viewpomnikprzyrody.jsf?fop=","PL.ZIPOP.1393.PP.1061011.243"),"(kliknij lub Ctrl+kliknij)")</f>
        <v>(kliknij lub Ctrl+kliknij)</v>
      </c>
      <c r="H1821" s="0" t="s">
        <v>1075</v>
      </c>
    </row>
    <row r="1822" customFormat="false" ht="12.8" hidden="false" customHeight="false" outlineLevel="0" collapsed="false">
      <c r="A1822" s="1" t="s">
        <v>569</v>
      </c>
      <c r="C1822" s="3" t="s">
        <v>1085</v>
      </c>
      <c r="D1822" s="4" t="s">
        <v>571</v>
      </c>
      <c r="F1822" s="6" t="s">
        <v>1086</v>
      </c>
      <c r="G1822" s="7" t="str">
        <f aca="false">HYPERLINK(CONCATENATE("http://crfop.gdos.gov.pl/CRFOP/widok/viewpomnikprzyrody.jsf?fop=","PL.ZIPOP.1393.PP.1061011.244"),"(kliknij lub Ctrl+kliknij)")</f>
        <v>(kliknij lub Ctrl+kliknij)</v>
      </c>
      <c r="H1822" s="0" t="s">
        <v>1075</v>
      </c>
    </row>
    <row r="1823" customFormat="false" ht="12.8" hidden="false" customHeight="false" outlineLevel="0" collapsed="false">
      <c r="A1823" s="1" t="s">
        <v>569</v>
      </c>
      <c r="B1823" s="2" t="s">
        <v>1087</v>
      </c>
      <c r="C1823" s="3" t="s">
        <v>1079</v>
      </c>
      <c r="D1823" s="4" t="s">
        <v>571</v>
      </c>
      <c r="F1823" s="6" t="s">
        <v>1080</v>
      </c>
      <c r="G1823" s="7" t="str">
        <f aca="false">HYPERLINK(CONCATENATE("http://crfop.gdos.gov.pl/CRFOP/widok/viewpomnikprzyrody.jsf?fop=","PL.ZIPOP.1393.PP.1061011.245"),"(kliknij lub Ctrl+kliknij)")</f>
        <v>(kliknij lub Ctrl+kliknij)</v>
      </c>
      <c r="H1823" s="0" t="s">
        <v>1075</v>
      </c>
    </row>
    <row r="1824" customFormat="false" ht="12.8" hidden="false" customHeight="false" outlineLevel="0" collapsed="false">
      <c r="A1824" s="1" t="s">
        <v>569</v>
      </c>
      <c r="C1824" s="3" t="s">
        <v>1079</v>
      </c>
      <c r="D1824" s="4" t="s">
        <v>571</v>
      </c>
      <c r="F1824" s="6" t="s">
        <v>1080</v>
      </c>
      <c r="G1824" s="7" t="str">
        <f aca="false">HYPERLINK(CONCATENATE("http://crfop.gdos.gov.pl/CRFOP/widok/viewpomnikprzyrody.jsf?fop=","PL.ZIPOP.1393.PP.1061011.246"),"(kliknij lub Ctrl+kliknij)")</f>
        <v>(kliknij lub Ctrl+kliknij)</v>
      </c>
      <c r="H1824" s="0" t="s">
        <v>1075</v>
      </c>
    </row>
    <row r="1825" customFormat="false" ht="12.8" hidden="false" customHeight="false" outlineLevel="0" collapsed="false">
      <c r="A1825" s="1" t="s">
        <v>569</v>
      </c>
      <c r="C1825" s="3" t="s">
        <v>1085</v>
      </c>
      <c r="D1825" s="4" t="s">
        <v>571</v>
      </c>
      <c r="F1825" s="6" t="s">
        <v>1086</v>
      </c>
      <c r="G1825" s="7" t="str">
        <f aca="false">HYPERLINK(CONCATENATE("http://crfop.gdos.gov.pl/CRFOP/widok/viewpomnikprzyrody.jsf?fop=","PL.ZIPOP.1393.PP.1061011.247"),"(kliknij lub Ctrl+kliknij)")</f>
        <v>(kliknij lub Ctrl+kliknij)</v>
      </c>
      <c r="H1825" s="0" t="s">
        <v>1075</v>
      </c>
    </row>
    <row r="1826" customFormat="false" ht="12.8" hidden="false" customHeight="false" outlineLevel="0" collapsed="false">
      <c r="A1826" s="1" t="s">
        <v>569</v>
      </c>
      <c r="C1826" s="3" t="s">
        <v>1085</v>
      </c>
      <c r="D1826" s="4" t="s">
        <v>571</v>
      </c>
      <c r="F1826" s="6" t="s">
        <v>1086</v>
      </c>
      <c r="G1826" s="7" t="str">
        <f aca="false">HYPERLINK(CONCATENATE("http://crfop.gdos.gov.pl/CRFOP/widok/viewpomnikprzyrody.jsf?fop=","PL.ZIPOP.1393.PP.1061011.248"),"(kliknij lub Ctrl+kliknij)")</f>
        <v>(kliknij lub Ctrl+kliknij)</v>
      </c>
      <c r="H1826" s="0" t="s">
        <v>1075</v>
      </c>
    </row>
    <row r="1827" customFormat="false" ht="12.8" hidden="false" customHeight="false" outlineLevel="0" collapsed="false">
      <c r="A1827" s="1" t="s">
        <v>569</v>
      </c>
      <c r="C1827" s="3" t="s">
        <v>1085</v>
      </c>
      <c r="D1827" s="4" t="s">
        <v>571</v>
      </c>
      <c r="F1827" s="6" t="s">
        <v>1086</v>
      </c>
      <c r="G1827" s="7" t="str">
        <f aca="false">HYPERLINK(CONCATENATE("http://crfop.gdos.gov.pl/CRFOP/widok/viewpomnikprzyrody.jsf?fop=","PL.ZIPOP.1393.PP.1061011.249"),"(kliknij lub Ctrl+kliknij)")</f>
        <v>(kliknij lub Ctrl+kliknij)</v>
      </c>
      <c r="H1827" s="0" t="s">
        <v>1075</v>
      </c>
    </row>
    <row r="1828" customFormat="false" ht="12.8" hidden="false" customHeight="false" outlineLevel="0" collapsed="false">
      <c r="A1828" s="1" t="s">
        <v>569</v>
      </c>
      <c r="C1828" s="3" t="s">
        <v>1085</v>
      </c>
      <c r="D1828" s="4" t="s">
        <v>571</v>
      </c>
      <c r="F1828" s="6" t="s">
        <v>1086</v>
      </c>
      <c r="G1828" s="7" t="str">
        <f aca="false">HYPERLINK(CONCATENATE("http://crfop.gdos.gov.pl/CRFOP/widok/viewpomnikprzyrody.jsf?fop=","PL.ZIPOP.1393.PP.1061011.250"),"(kliknij lub Ctrl+kliknij)")</f>
        <v>(kliknij lub Ctrl+kliknij)</v>
      </c>
      <c r="H1828" s="0" t="s">
        <v>1075</v>
      </c>
    </row>
    <row r="1829" customFormat="false" ht="12.8" hidden="false" customHeight="false" outlineLevel="0" collapsed="false">
      <c r="A1829" s="1" t="s">
        <v>569</v>
      </c>
      <c r="C1829" s="3" t="s">
        <v>1079</v>
      </c>
      <c r="D1829" s="4" t="s">
        <v>571</v>
      </c>
      <c r="F1829" s="6" t="s">
        <v>1080</v>
      </c>
      <c r="G1829" s="7" t="str">
        <f aca="false">HYPERLINK(CONCATENATE("http://crfop.gdos.gov.pl/CRFOP/widok/viewpomnikprzyrody.jsf?fop=","PL.ZIPOP.1393.PP.1061011.251"),"(kliknij lub Ctrl+kliknij)")</f>
        <v>(kliknij lub Ctrl+kliknij)</v>
      </c>
      <c r="H1829" s="0" t="s">
        <v>1075</v>
      </c>
    </row>
    <row r="1830" customFormat="false" ht="12.8" hidden="false" customHeight="false" outlineLevel="0" collapsed="false">
      <c r="A1830" s="1" t="s">
        <v>569</v>
      </c>
      <c r="C1830" s="3" t="s">
        <v>1079</v>
      </c>
      <c r="D1830" s="4" t="s">
        <v>571</v>
      </c>
      <c r="F1830" s="6" t="s">
        <v>1080</v>
      </c>
      <c r="G1830" s="7" t="str">
        <f aca="false">HYPERLINK(CONCATENATE("http://crfop.gdos.gov.pl/CRFOP/widok/viewpomnikprzyrody.jsf?fop=","PL.ZIPOP.1393.PP.1061011.252"),"(kliknij lub Ctrl+kliknij)")</f>
        <v>(kliknij lub Ctrl+kliknij)</v>
      </c>
      <c r="H1830" s="0" t="s">
        <v>1075</v>
      </c>
    </row>
    <row r="1831" customFormat="false" ht="12.8" hidden="false" customHeight="false" outlineLevel="0" collapsed="false">
      <c r="A1831" s="1" t="s">
        <v>569</v>
      </c>
      <c r="C1831" s="3" t="s">
        <v>1079</v>
      </c>
      <c r="D1831" s="4" t="s">
        <v>571</v>
      </c>
      <c r="F1831" s="6" t="s">
        <v>1080</v>
      </c>
      <c r="G1831" s="7" t="str">
        <f aca="false">HYPERLINK(CONCATENATE("http://crfop.gdos.gov.pl/CRFOP/widok/viewpomnikprzyrody.jsf?fop=","PL.ZIPOP.1393.PP.1061011.253"),"(kliknij lub Ctrl+kliknij)")</f>
        <v>(kliknij lub Ctrl+kliknij)</v>
      </c>
      <c r="H1831" s="0" t="s">
        <v>1075</v>
      </c>
    </row>
    <row r="1832" customFormat="false" ht="12.8" hidden="false" customHeight="false" outlineLevel="0" collapsed="false">
      <c r="A1832" s="1" t="s">
        <v>569</v>
      </c>
      <c r="C1832" s="3" t="s">
        <v>1085</v>
      </c>
      <c r="D1832" s="4" t="s">
        <v>571</v>
      </c>
      <c r="F1832" s="6" t="s">
        <v>1086</v>
      </c>
      <c r="G1832" s="7" t="str">
        <f aca="false">HYPERLINK(CONCATENATE("http://crfop.gdos.gov.pl/CRFOP/widok/viewpomnikprzyrody.jsf?fop=","PL.ZIPOP.1393.PP.1061011.256"),"(kliknij lub Ctrl+kliknij)")</f>
        <v>(kliknij lub Ctrl+kliknij)</v>
      </c>
      <c r="H1832" s="0" t="s">
        <v>1075</v>
      </c>
    </row>
    <row r="1833" customFormat="false" ht="12.8" hidden="false" customHeight="false" outlineLevel="0" collapsed="false">
      <c r="A1833" s="1" t="s">
        <v>569</v>
      </c>
      <c r="C1833" s="3" t="s">
        <v>1085</v>
      </c>
      <c r="D1833" s="4" t="s">
        <v>571</v>
      </c>
      <c r="F1833" s="6" t="s">
        <v>1086</v>
      </c>
      <c r="G1833" s="7" t="str">
        <f aca="false">HYPERLINK(CONCATENATE("http://crfop.gdos.gov.pl/CRFOP/widok/viewpomnikprzyrody.jsf?fop=","PL.ZIPOP.1393.PP.1061011.257"),"(kliknij lub Ctrl+kliknij)")</f>
        <v>(kliknij lub Ctrl+kliknij)</v>
      </c>
      <c r="H1833" s="0" t="s">
        <v>1075</v>
      </c>
    </row>
    <row r="1834" customFormat="false" ht="12.8" hidden="false" customHeight="false" outlineLevel="0" collapsed="false">
      <c r="A1834" s="1" t="s">
        <v>569</v>
      </c>
      <c r="C1834" s="3" t="s">
        <v>1085</v>
      </c>
      <c r="D1834" s="4" t="s">
        <v>571</v>
      </c>
      <c r="F1834" s="6" t="s">
        <v>1086</v>
      </c>
      <c r="G1834" s="7" t="str">
        <f aca="false">HYPERLINK(CONCATENATE("http://crfop.gdos.gov.pl/CRFOP/widok/viewpomnikprzyrody.jsf?fop=","PL.ZIPOP.1393.PP.1061011.259"),"(kliknij lub Ctrl+kliknij)")</f>
        <v>(kliknij lub Ctrl+kliknij)</v>
      </c>
      <c r="H1834" s="0" t="s">
        <v>1075</v>
      </c>
    </row>
    <row r="1835" customFormat="false" ht="12.8" hidden="false" customHeight="false" outlineLevel="0" collapsed="false">
      <c r="A1835" s="1" t="s">
        <v>569</v>
      </c>
      <c r="C1835" s="3" t="s">
        <v>710</v>
      </c>
      <c r="D1835" s="4" t="s">
        <v>571</v>
      </c>
      <c r="F1835" s="6" t="s">
        <v>711</v>
      </c>
      <c r="G1835" s="7" t="str">
        <f aca="false">HYPERLINK(CONCATENATE("http://crfop.gdos.gov.pl/CRFOP/widok/viewpomnikprzyrody.jsf?fop=","PL.ZIPOP.1393.PP.1061011.25"),"(kliknij lub Ctrl+kliknij)")</f>
        <v>(kliknij lub Ctrl+kliknij)</v>
      </c>
      <c r="H1835" s="0" t="s">
        <v>1075</v>
      </c>
    </row>
    <row r="1836" customFormat="false" ht="12.8" hidden="false" customHeight="false" outlineLevel="0" collapsed="false">
      <c r="A1836" s="1" t="s">
        <v>569</v>
      </c>
      <c r="C1836" s="3" t="s">
        <v>1085</v>
      </c>
      <c r="D1836" s="4" t="s">
        <v>571</v>
      </c>
      <c r="F1836" s="6" t="s">
        <v>1086</v>
      </c>
      <c r="G1836" s="7" t="str">
        <f aca="false">HYPERLINK(CONCATENATE("http://crfop.gdos.gov.pl/CRFOP/widok/viewpomnikprzyrody.jsf?fop=","PL.ZIPOP.1393.PP.1061011.260"),"(kliknij lub Ctrl+kliknij)")</f>
        <v>(kliknij lub Ctrl+kliknij)</v>
      </c>
      <c r="H1836" s="0" t="s">
        <v>1075</v>
      </c>
    </row>
    <row r="1837" customFormat="false" ht="12.8" hidden="false" customHeight="false" outlineLevel="0" collapsed="false">
      <c r="A1837" s="1" t="s">
        <v>569</v>
      </c>
      <c r="C1837" s="3" t="s">
        <v>1085</v>
      </c>
      <c r="D1837" s="4" t="s">
        <v>571</v>
      </c>
      <c r="F1837" s="6" t="s">
        <v>1086</v>
      </c>
      <c r="G1837" s="7" t="str">
        <f aca="false">HYPERLINK(CONCATENATE("http://crfop.gdos.gov.pl/CRFOP/widok/viewpomnikprzyrody.jsf?fop=","PL.ZIPOP.1393.PP.1061011.261"),"(kliknij lub Ctrl+kliknij)")</f>
        <v>(kliknij lub Ctrl+kliknij)</v>
      </c>
      <c r="H1837" s="0" t="s">
        <v>1075</v>
      </c>
    </row>
    <row r="1838" customFormat="false" ht="12.8" hidden="false" customHeight="false" outlineLevel="0" collapsed="false">
      <c r="A1838" s="1" t="s">
        <v>569</v>
      </c>
      <c r="C1838" s="3" t="s">
        <v>1088</v>
      </c>
      <c r="D1838" s="4" t="s">
        <v>571</v>
      </c>
      <c r="F1838" s="6" t="s">
        <v>1089</v>
      </c>
      <c r="G1838" s="7" t="str">
        <f aca="false">HYPERLINK(CONCATENATE("http://crfop.gdos.gov.pl/CRFOP/widok/viewpomnikprzyrody.jsf?fop=","PL.ZIPOP.1393.PP.1061011.268"),"(kliknij lub Ctrl+kliknij)")</f>
        <v>(kliknij lub Ctrl+kliknij)</v>
      </c>
      <c r="H1838" s="0" t="s">
        <v>1075</v>
      </c>
    </row>
    <row r="1839" customFormat="false" ht="12.8" hidden="false" customHeight="false" outlineLevel="0" collapsed="false">
      <c r="A1839" s="1" t="s">
        <v>569</v>
      </c>
      <c r="C1839" s="3" t="s">
        <v>1088</v>
      </c>
      <c r="D1839" s="4" t="s">
        <v>571</v>
      </c>
      <c r="F1839" s="6" t="s">
        <v>1089</v>
      </c>
      <c r="G1839" s="7" t="str">
        <f aca="false">HYPERLINK(CONCATENATE("http://crfop.gdos.gov.pl/CRFOP/widok/viewpomnikprzyrody.jsf?fop=","PL.ZIPOP.1393.PP.1061011.269"),"(kliknij lub Ctrl+kliknij)")</f>
        <v>(kliknij lub Ctrl+kliknij)</v>
      </c>
      <c r="H1839" s="0" t="s">
        <v>1075</v>
      </c>
    </row>
    <row r="1840" customFormat="false" ht="12.8" hidden="false" customHeight="false" outlineLevel="0" collapsed="false">
      <c r="A1840" s="1" t="s">
        <v>569</v>
      </c>
      <c r="C1840" s="3" t="s">
        <v>710</v>
      </c>
      <c r="D1840" s="4" t="s">
        <v>571</v>
      </c>
      <c r="F1840" s="6" t="s">
        <v>711</v>
      </c>
      <c r="G1840" s="7" t="str">
        <f aca="false">HYPERLINK(CONCATENATE("http://crfop.gdos.gov.pl/CRFOP/widok/viewpomnikprzyrody.jsf?fop=","PL.ZIPOP.1393.PP.1061011.26"),"(kliknij lub Ctrl+kliknij)")</f>
        <v>(kliknij lub Ctrl+kliknij)</v>
      </c>
      <c r="H1840" s="0" t="s">
        <v>1075</v>
      </c>
    </row>
    <row r="1841" customFormat="false" ht="12.8" hidden="false" customHeight="false" outlineLevel="0" collapsed="false">
      <c r="A1841" s="1" t="s">
        <v>569</v>
      </c>
      <c r="C1841" s="3" t="s">
        <v>1088</v>
      </c>
      <c r="D1841" s="4" t="s">
        <v>571</v>
      </c>
      <c r="F1841" s="6" t="s">
        <v>1089</v>
      </c>
      <c r="G1841" s="7" t="str">
        <f aca="false">HYPERLINK(CONCATENATE("http://crfop.gdos.gov.pl/CRFOP/widok/viewpomnikprzyrody.jsf?fop=","PL.ZIPOP.1393.PP.1061011.270"),"(kliknij lub Ctrl+kliknij)")</f>
        <v>(kliknij lub Ctrl+kliknij)</v>
      </c>
      <c r="H1841" s="0" t="s">
        <v>1075</v>
      </c>
    </row>
    <row r="1842" customFormat="false" ht="12.8" hidden="false" customHeight="false" outlineLevel="0" collapsed="false">
      <c r="A1842" s="1" t="s">
        <v>569</v>
      </c>
      <c r="C1842" s="3" t="s">
        <v>1088</v>
      </c>
      <c r="D1842" s="4" t="s">
        <v>571</v>
      </c>
      <c r="F1842" s="6" t="s">
        <v>1089</v>
      </c>
      <c r="G1842" s="7" t="str">
        <f aca="false">HYPERLINK(CONCATENATE("http://crfop.gdos.gov.pl/CRFOP/widok/viewpomnikprzyrody.jsf?fop=","PL.ZIPOP.1393.PP.1061011.271"),"(kliknij lub Ctrl+kliknij)")</f>
        <v>(kliknij lub Ctrl+kliknij)</v>
      </c>
      <c r="H1842" s="0" t="s">
        <v>1075</v>
      </c>
    </row>
    <row r="1843" customFormat="false" ht="12.8" hidden="false" customHeight="false" outlineLevel="0" collapsed="false">
      <c r="A1843" s="1" t="s">
        <v>569</v>
      </c>
      <c r="C1843" s="3" t="s">
        <v>1090</v>
      </c>
      <c r="D1843" s="4" t="s">
        <v>571</v>
      </c>
      <c r="F1843" s="6" t="s">
        <v>1089</v>
      </c>
      <c r="G1843" s="7" t="str">
        <f aca="false">HYPERLINK(CONCATENATE("http://crfop.gdos.gov.pl/CRFOP/widok/viewpomnikprzyrody.jsf?fop=","PL.ZIPOP.1393.PP.1061011.273"),"(kliknij lub Ctrl+kliknij)")</f>
        <v>(kliknij lub Ctrl+kliknij)</v>
      </c>
      <c r="H1843" s="0" t="s">
        <v>1075</v>
      </c>
    </row>
    <row r="1844" customFormat="false" ht="12.8" hidden="false" customHeight="false" outlineLevel="0" collapsed="false">
      <c r="A1844" s="1" t="s">
        <v>569</v>
      </c>
      <c r="C1844" s="3" t="s">
        <v>1088</v>
      </c>
      <c r="D1844" s="4" t="s">
        <v>571</v>
      </c>
      <c r="F1844" s="6" t="s">
        <v>1089</v>
      </c>
      <c r="G1844" s="7" t="str">
        <f aca="false">HYPERLINK(CONCATENATE("http://crfop.gdos.gov.pl/CRFOP/widok/viewpomnikprzyrody.jsf?fop=","PL.ZIPOP.1393.PP.1061011.274"),"(kliknij lub Ctrl+kliknij)")</f>
        <v>(kliknij lub Ctrl+kliknij)</v>
      </c>
      <c r="H1844" s="0" t="s">
        <v>1075</v>
      </c>
    </row>
    <row r="1845" customFormat="false" ht="12.8" hidden="false" customHeight="false" outlineLevel="0" collapsed="false">
      <c r="A1845" s="1" t="s">
        <v>569</v>
      </c>
      <c r="C1845" s="3" t="s">
        <v>1088</v>
      </c>
      <c r="D1845" s="4" t="s">
        <v>571</v>
      </c>
      <c r="F1845" s="6" t="s">
        <v>1089</v>
      </c>
      <c r="G1845" s="7" t="str">
        <f aca="false">HYPERLINK(CONCATENATE("http://crfop.gdos.gov.pl/CRFOP/widok/viewpomnikprzyrody.jsf?fop=","PL.ZIPOP.1393.PP.1061011.275"),"(kliknij lub Ctrl+kliknij)")</f>
        <v>(kliknij lub Ctrl+kliknij)</v>
      </c>
      <c r="H1845" s="0" t="s">
        <v>1075</v>
      </c>
    </row>
    <row r="1846" customFormat="false" ht="12.8" hidden="false" customHeight="false" outlineLevel="0" collapsed="false">
      <c r="A1846" s="1" t="s">
        <v>569</v>
      </c>
      <c r="C1846" s="3" t="s">
        <v>1090</v>
      </c>
      <c r="D1846" s="4" t="s">
        <v>571</v>
      </c>
      <c r="F1846" s="6" t="s">
        <v>1089</v>
      </c>
      <c r="G1846" s="7" t="str">
        <f aca="false">HYPERLINK(CONCATENATE("http://crfop.gdos.gov.pl/CRFOP/widok/viewpomnikprzyrody.jsf?fop=","PL.ZIPOP.1393.PP.1061011.276"),"(kliknij lub Ctrl+kliknij)")</f>
        <v>(kliknij lub Ctrl+kliknij)</v>
      </c>
      <c r="H1846" s="0" t="s">
        <v>1075</v>
      </c>
    </row>
    <row r="1847" customFormat="false" ht="12.8" hidden="false" customHeight="false" outlineLevel="0" collapsed="false">
      <c r="A1847" s="1" t="s">
        <v>569</v>
      </c>
      <c r="C1847" s="3" t="s">
        <v>1090</v>
      </c>
      <c r="D1847" s="4" t="s">
        <v>571</v>
      </c>
      <c r="F1847" s="6" t="s">
        <v>1089</v>
      </c>
      <c r="G1847" s="7" t="str">
        <f aca="false">HYPERLINK(CONCATENATE("http://crfop.gdos.gov.pl/CRFOP/widok/viewpomnikprzyrody.jsf?fop=","PL.ZIPOP.1393.PP.1061011.277"),"(kliknij lub Ctrl+kliknij)")</f>
        <v>(kliknij lub Ctrl+kliknij)</v>
      </c>
      <c r="H1847" s="0" t="s">
        <v>1075</v>
      </c>
    </row>
    <row r="1848" customFormat="false" ht="12.8" hidden="false" customHeight="false" outlineLevel="0" collapsed="false">
      <c r="A1848" s="1" t="s">
        <v>569</v>
      </c>
      <c r="C1848" s="3" t="s">
        <v>1090</v>
      </c>
      <c r="D1848" s="4" t="s">
        <v>571</v>
      </c>
      <c r="F1848" s="6" t="s">
        <v>1089</v>
      </c>
      <c r="G1848" s="7" t="str">
        <f aca="false">HYPERLINK(CONCATENATE("http://crfop.gdos.gov.pl/CRFOP/widok/viewpomnikprzyrody.jsf?fop=","PL.ZIPOP.1393.PP.1061011.278"),"(kliknij lub Ctrl+kliknij)")</f>
        <v>(kliknij lub Ctrl+kliknij)</v>
      </c>
      <c r="H1848" s="0" t="s">
        <v>1075</v>
      </c>
    </row>
    <row r="1849" customFormat="false" ht="12.8" hidden="false" customHeight="false" outlineLevel="0" collapsed="false">
      <c r="A1849" s="1" t="s">
        <v>569</v>
      </c>
      <c r="C1849" s="3" t="s">
        <v>1090</v>
      </c>
      <c r="D1849" s="4" t="s">
        <v>571</v>
      </c>
      <c r="F1849" s="6" t="s">
        <v>1089</v>
      </c>
      <c r="G1849" s="7" t="str">
        <f aca="false">HYPERLINK(CONCATENATE("http://crfop.gdos.gov.pl/CRFOP/widok/viewpomnikprzyrody.jsf?fop=","PL.ZIPOP.1393.PP.1061011.279"),"(kliknij lub Ctrl+kliknij)")</f>
        <v>(kliknij lub Ctrl+kliknij)</v>
      </c>
      <c r="H1849" s="0" t="s">
        <v>1075</v>
      </c>
    </row>
    <row r="1850" customFormat="false" ht="12.8" hidden="false" customHeight="false" outlineLevel="0" collapsed="false">
      <c r="A1850" s="1" t="s">
        <v>569</v>
      </c>
      <c r="C1850" s="3" t="s">
        <v>710</v>
      </c>
      <c r="D1850" s="4" t="s">
        <v>571</v>
      </c>
      <c r="F1850" s="6" t="s">
        <v>711</v>
      </c>
      <c r="G1850" s="7" t="str">
        <f aca="false">HYPERLINK(CONCATENATE("http://crfop.gdos.gov.pl/CRFOP/widok/viewpomnikprzyrody.jsf?fop=","PL.ZIPOP.1393.PP.1061011.27"),"(kliknij lub Ctrl+kliknij)")</f>
        <v>(kliknij lub Ctrl+kliknij)</v>
      </c>
      <c r="H1850" s="0" t="s">
        <v>1075</v>
      </c>
    </row>
    <row r="1851" customFormat="false" ht="12.8" hidden="false" customHeight="false" outlineLevel="0" collapsed="false">
      <c r="A1851" s="1" t="s">
        <v>569</v>
      </c>
      <c r="C1851" s="3" t="s">
        <v>1088</v>
      </c>
      <c r="D1851" s="4" t="s">
        <v>571</v>
      </c>
      <c r="F1851" s="6" t="s">
        <v>1089</v>
      </c>
      <c r="G1851" s="7" t="str">
        <f aca="false">HYPERLINK(CONCATENATE("http://crfop.gdos.gov.pl/CRFOP/widok/viewpomnikprzyrody.jsf?fop=","PL.ZIPOP.1393.PP.1061011.280"),"(kliknij lub Ctrl+kliknij)")</f>
        <v>(kliknij lub Ctrl+kliknij)</v>
      </c>
      <c r="H1851" s="0" t="s">
        <v>1075</v>
      </c>
    </row>
    <row r="1852" customFormat="false" ht="12.8" hidden="false" customHeight="false" outlineLevel="0" collapsed="false">
      <c r="A1852" s="1" t="s">
        <v>569</v>
      </c>
      <c r="C1852" s="3" t="s">
        <v>1090</v>
      </c>
      <c r="D1852" s="4" t="s">
        <v>571</v>
      </c>
      <c r="F1852" s="6" t="s">
        <v>1089</v>
      </c>
      <c r="G1852" s="7" t="str">
        <f aca="false">HYPERLINK(CONCATENATE("http://crfop.gdos.gov.pl/CRFOP/widok/viewpomnikprzyrody.jsf?fop=","PL.ZIPOP.1393.PP.1061011.281"),"(kliknij lub Ctrl+kliknij)")</f>
        <v>(kliknij lub Ctrl+kliknij)</v>
      </c>
      <c r="H1852" s="0" t="s">
        <v>1075</v>
      </c>
    </row>
    <row r="1853" customFormat="false" ht="12.8" hidden="false" customHeight="false" outlineLevel="0" collapsed="false">
      <c r="A1853" s="1" t="s">
        <v>569</v>
      </c>
      <c r="C1853" s="3" t="s">
        <v>1090</v>
      </c>
      <c r="D1853" s="4" t="s">
        <v>571</v>
      </c>
      <c r="F1853" s="6" t="s">
        <v>1089</v>
      </c>
      <c r="G1853" s="7" t="str">
        <f aca="false">HYPERLINK(CONCATENATE("http://crfop.gdos.gov.pl/CRFOP/widok/viewpomnikprzyrody.jsf?fop=","PL.ZIPOP.1393.PP.1061011.282"),"(kliknij lub Ctrl+kliknij)")</f>
        <v>(kliknij lub Ctrl+kliknij)</v>
      </c>
      <c r="H1853" s="0" t="s">
        <v>1075</v>
      </c>
    </row>
    <row r="1854" customFormat="false" ht="12.8" hidden="false" customHeight="false" outlineLevel="0" collapsed="false">
      <c r="A1854" s="1" t="s">
        <v>569</v>
      </c>
      <c r="C1854" s="3" t="s">
        <v>1090</v>
      </c>
      <c r="D1854" s="4" t="s">
        <v>571</v>
      </c>
      <c r="F1854" s="6" t="s">
        <v>1089</v>
      </c>
      <c r="G1854" s="7" t="str">
        <f aca="false">HYPERLINK(CONCATENATE("http://crfop.gdos.gov.pl/CRFOP/widok/viewpomnikprzyrody.jsf?fop=","PL.ZIPOP.1393.PP.1061011.283"),"(kliknij lub Ctrl+kliknij)")</f>
        <v>(kliknij lub Ctrl+kliknij)</v>
      </c>
      <c r="H1854" s="0" t="s">
        <v>1075</v>
      </c>
    </row>
    <row r="1855" customFormat="false" ht="12.8" hidden="false" customHeight="false" outlineLevel="0" collapsed="false">
      <c r="A1855" s="1" t="s">
        <v>569</v>
      </c>
      <c r="C1855" s="3" t="s">
        <v>1090</v>
      </c>
      <c r="D1855" s="4" t="s">
        <v>571</v>
      </c>
      <c r="F1855" s="6" t="s">
        <v>1089</v>
      </c>
      <c r="G1855" s="7" t="str">
        <f aca="false">HYPERLINK(CONCATENATE("http://crfop.gdos.gov.pl/CRFOP/widok/viewpomnikprzyrody.jsf?fop=","PL.ZIPOP.1393.PP.1061011.284"),"(kliknij lub Ctrl+kliknij)")</f>
        <v>(kliknij lub Ctrl+kliknij)</v>
      </c>
      <c r="H1855" s="0" t="s">
        <v>1075</v>
      </c>
    </row>
    <row r="1856" customFormat="false" ht="12.8" hidden="false" customHeight="false" outlineLevel="0" collapsed="false">
      <c r="A1856" s="1" t="s">
        <v>569</v>
      </c>
      <c r="C1856" s="3" t="s">
        <v>710</v>
      </c>
      <c r="D1856" s="4" t="s">
        <v>571</v>
      </c>
      <c r="F1856" s="6" t="s">
        <v>711</v>
      </c>
      <c r="G1856" s="7" t="str">
        <f aca="false">HYPERLINK(CONCATENATE("http://crfop.gdos.gov.pl/CRFOP/widok/viewpomnikprzyrody.jsf?fop=","PL.ZIPOP.1393.PP.1061011.28"),"(kliknij lub Ctrl+kliknij)")</f>
        <v>(kliknij lub Ctrl+kliknij)</v>
      </c>
      <c r="H1856" s="0" t="s">
        <v>1075</v>
      </c>
    </row>
    <row r="1857" customFormat="false" ht="12.8" hidden="false" customHeight="false" outlineLevel="0" collapsed="false">
      <c r="A1857" s="1" t="s">
        <v>569</v>
      </c>
      <c r="C1857" s="3" t="s">
        <v>1091</v>
      </c>
      <c r="D1857" s="4" t="s">
        <v>571</v>
      </c>
      <c r="F1857" s="6" t="s">
        <v>1092</v>
      </c>
      <c r="G1857" s="7" t="str">
        <f aca="false">HYPERLINK(CONCATENATE("http://crfop.gdos.gov.pl/CRFOP/widok/viewpomnikprzyrody.jsf?fop=","PL.ZIPOP.1393.PP.1061011.292"),"(kliknij lub Ctrl+kliknij)")</f>
        <v>(kliknij lub Ctrl+kliknij)</v>
      </c>
      <c r="H1857" s="0" t="s">
        <v>1075</v>
      </c>
    </row>
    <row r="1858" customFormat="false" ht="12.8" hidden="false" customHeight="false" outlineLevel="0" collapsed="false">
      <c r="A1858" s="1" t="s">
        <v>569</v>
      </c>
      <c r="C1858" s="3" t="s">
        <v>1091</v>
      </c>
      <c r="D1858" s="4" t="s">
        <v>571</v>
      </c>
      <c r="F1858" s="6" t="s">
        <v>1092</v>
      </c>
      <c r="G1858" s="7" t="str">
        <f aca="false">HYPERLINK(CONCATENATE("http://crfop.gdos.gov.pl/CRFOP/widok/viewpomnikprzyrody.jsf?fop=","PL.ZIPOP.1393.PP.1061011.293"),"(kliknij lub Ctrl+kliknij)")</f>
        <v>(kliknij lub Ctrl+kliknij)</v>
      </c>
      <c r="H1858" s="0" t="s">
        <v>1075</v>
      </c>
    </row>
    <row r="1859" customFormat="false" ht="12.8" hidden="false" customHeight="false" outlineLevel="0" collapsed="false">
      <c r="A1859" s="1" t="s">
        <v>569</v>
      </c>
      <c r="C1859" s="3" t="s">
        <v>1091</v>
      </c>
      <c r="D1859" s="4" t="s">
        <v>571</v>
      </c>
      <c r="F1859" s="6" t="s">
        <v>1092</v>
      </c>
      <c r="G1859" s="7" t="str">
        <f aca="false">HYPERLINK(CONCATENATE("http://crfop.gdos.gov.pl/CRFOP/widok/viewpomnikprzyrody.jsf?fop=","PL.ZIPOP.1393.PP.1061011.294"),"(kliknij lub Ctrl+kliknij)")</f>
        <v>(kliknij lub Ctrl+kliknij)</v>
      </c>
      <c r="H1859" s="0" t="s">
        <v>1075</v>
      </c>
    </row>
    <row r="1860" customFormat="false" ht="12.8" hidden="false" customHeight="false" outlineLevel="0" collapsed="false">
      <c r="A1860" s="1" t="s">
        <v>569</v>
      </c>
      <c r="C1860" s="3" t="s">
        <v>1091</v>
      </c>
      <c r="D1860" s="4" t="s">
        <v>571</v>
      </c>
      <c r="F1860" s="6" t="s">
        <v>1092</v>
      </c>
      <c r="G1860" s="7" t="str">
        <f aca="false">HYPERLINK(CONCATENATE("http://crfop.gdos.gov.pl/CRFOP/widok/viewpomnikprzyrody.jsf?fop=","PL.ZIPOP.1393.PP.1061011.295"),"(kliknij lub Ctrl+kliknij)")</f>
        <v>(kliknij lub Ctrl+kliknij)</v>
      </c>
      <c r="H1860" s="0" t="s">
        <v>1075</v>
      </c>
    </row>
    <row r="1861" customFormat="false" ht="12.8" hidden="false" customHeight="false" outlineLevel="0" collapsed="false">
      <c r="A1861" s="1" t="s">
        <v>569</v>
      </c>
      <c r="C1861" s="3" t="s">
        <v>1091</v>
      </c>
      <c r="D1861" s="4" t="s">
        <v>571</v>
      </c>
      <c r="F1861" s="6" t="s">
        <v>1092</v>
      </c>
      <c r="G1861" s="7" t="str">
        <f aca="false">HYPERLINK(CONCATENATE("http://crfop.gdos.gov.pl/CRFOP/widok/viewpomnikprzyrody.jsf?fop=","PL.ZIPOP.1393.PP.1061011.296"),"(kliknij lub Ctrl+kliknij)")</f>
        <v>(kliknij lub Ctrl+kliknij)</v>
      </c>
      <c r="H1861" s="0" t="s">
        <v>1075</v>
      </c>
    </row>
    <row r="1862" customFormat="false" ht="12.8" hidden="false" customHeight="false" outlineLevel="0" collapsed="false">
      <c r="A1862" s="1" t="s">
        <v>569</v>
      </c>
      <c r="C1862" s="3" t="s">
        <v>1091</v>
      </c>
      <c r="D1862" s="4" t="s">
        <v>571</v>
      </c>
      <c r="F1862" s="6" t="s">
        <v>1092</v>
      </c>
      <c r="G1862" s="7" t="str">
        <f aca="false">HYPERLINK(CONCATENATE("http://crfop.gdos.gov.pl/CRFOP/widok/viewpomnikprzyrody.jsf?fop=","PL.ZIPOP.1393.PP.1061011.297"),"(kliknij lub Ctrl+kliknij)")</f>
        <v>(kliknij lub Ctrl+kliknij)</v>
      </c>
      <c r="H1862" s="0" t="s">
        <v>1075</v>
      </c>
    </row>
    <row r="1863" customFormat="false" ht="12.8" hidden="false" customHeight="false" outlineLevel="0" collapsed="false">
      <c r="A1863" s="1" t="s">
        <v>569</v>
      </c>
      <c r="C1863" s="3" t="s">
        <v>1091</v>
      </c>
      <c r="D1863" s="4" t="s">
        <v>571</v>
      </c>
      <c r="F1863" s="6" t="s">
        <v>1092</v>
      </c>
      <c r="G1863" s="7" t="str">
        <f aca="false">HYPERLINK(CONCATENATE("http://crfop.gdos.gov.pl/CRFOP/widok/viewpomnikprzyrody.jsf?fop=","PL.ZIPOP.1393.PP.1061011.298"),"(kliknij lub Ctrl+kliknij)")</f>
        <v>(kliknij lub Ctrl+kliknij)</v>
      </c>
      <c r="H1863" s="0" t="s">
        <v>1075</v>
      </c>
    </row>
    <row r="1864" customFormat="false" ht="12.8" hidden="false" customHeight="false" outlineLevel="0" collapsed="false">
      <c r="A1864" s="1" t="s">
        <v>569</v>
      </c>
      <c r="C1864" s="3" t="s">
        <v>710</v>
      </c>
      <c r="D1864" s="4" t="s">
        <v>571</v>
      </c>
      <c r="F1864" s="6" t="s">
        <v>711</v>
      </c>
      <c r="G1864" s="7" t="str">
        <f aca="false">HYPERLINK(CONCATENATE("http://crfop.gdos.gov.pl/CRFOP/widok/viewpomnikprzyrody.jsf?fop=","PL.ZIPOP.1393.PP.1061011.29"),"(kliknij lub Ctrl+kliknij)")</f>
        <v>(kliknij lub Ctrl+kliknij)</v>
      </c>
      <c r="H1864" s="0" t="s">
        <v>1075</v>
      </c>
    </row>
    <row r="1865" customFormat="false" ht="12.8" hidden="false" customHeight="false" outlineLevel="0" collapsed="false">
      <c r="A1865" s="1" t="s">
        <v>569</v>
      </c>
      <c r="C1865" s="3" t="s">
        <v>710</v>
      </c>
      <c r="D1865" s="4" t="s">
        <v>571</v>
      </c>
      <c r="F1865" s="6" t="s">
        <v>711</v>
      </c>
      <c r="G1865" s="7" t="str">
        <f aca="false">HYPERLINK(CONCATENATE("http://crfop.gdos.gov.pl/CRFOP/widok/viewpomnikprzyrody.jsf?fop=","PL.ZIPOP.1393.PP.1061011.2"),"(kliknij lub Ctrl+kliknij)")</f>
        <v>(kliknij lub Ctrl+kliknij)</v>
      </c>
      <c r="H1865" s="0" t="s">
        <v>1075</v>
      </c>
    </row>
    <row r="1866" customFormat="false" ht="12.8" hidden="false" customHeight="false" outlineLevel="0" collapsed="false">
      <c r="A1866" s="1" t="s">
        <v>569</v>
      </c>
      <c r="C1866" s="3" t="s">
        <v>1093</v>
      </c>
      <c r="D1866" s="4" t="s">
        <v>571</v>
      </c>
      <c r="F1866" s="6" t="s">
        <v>1094</v>
      </c>
      <c r="G1866" s="7" t="str">
        <f aca="false">HYPERLINK(CONCATENATE("http://crfop.gdos.gov.pl/CRFOP/widok/viewpomnikprzyrody.jsf?fop=","PL.ZIPOP.1393.PP.1061011.3133"),"(kliknij lub Ctrl+kliknij)")</f>
        <v>(kliknij lub Ctrl+kliknij)</v>
      </c>
      <c r="H1866" s="0" t="s">
        <v>1075</v>
      </c>
    </row>
    <row r="1867" customFormat="false" ht="12.8" hidden="false" customHeight="false" outlineLevel="0" collapsed="false">
      <c r="A1867" s="1" t="s">
        <v>569</v>
      </c>
      <c r="C1867" s="3" t="s">
        <v>1093</v>
      </c>
      <c r="D1867" s="4" t="s">
        <v>571</v>
      </c>
      <c r="F1867" s="6" t="s">
        <v>1094</v>
      </c>
      <c r="G1867" s="7" t="str">
        <f aca="false">HYPERLINK(CONCATENATE("http://crfop.gdos.gov.pl/CRFOP/widok/viewpomnikprzyrody.jsf?fop=","PL.ZIPOP.1393.PP.1061011.3134"),"(kliknij lub Ctrl+kliknij)")</f>
        <v>(kliknij lub Ctrl+kliknij)</v>
      </c>
      <c r="H1867" s="0" t="s">
        <v>1075</v>
      </c>
    </row>
    <row r="1868" customFormat="false" ht="12.8" hidden="false" customHeight="false" outlineLevel="0" collapsed="false">
      <c r="A1868" s="1" t="s">
        <v>569</v>
      </c>
      <c r="C1868" s="3" t="s">
        <v>1093</v>
      </c>
      <c r="D1868" s="4" t="s">
        <v>571</v>
      </c>
      <c r="F1868" s="6" t="s">
        <v>1094</v>
      </c>
      <c r="G1868" s="7" t="str">
        <f aca="false">HYPERLINK(CONCATENATE("http://crfop.gdos.gov.pl/CRFOP/widok/viewpomnikprzyrody.jsf?fop=","PL.ZIPOP.1393.PP.1061011.3135"),"(kliknij lub Ctrl+kliknij)")</f>
        <v>(kliknij lub Ctrl+kliknij)</v>
      </c>
      <c r="H1868" s="0" t="s">
        <v>1075</v>
      </c>
    </row>
    <row r="1869" customFormat="false" ht="12.8" hidden="false" customHeight="false" outlineLevel="0" collapsed="false">
      <c r="A1869" s="1" t="s">
        <v>569</v>
      </c>
      <c r="C1869" s="3" t="s">
        <v>710</v>
      </c>
      <c r="D1869" s="4" t="s">
        <v>571</v>
      </c>
      <c r="F1869" s="6" t="s">
        <v>711</v>
      </c>
      <c r="G1869" s="7" t="str">
        <f aca="false">HYPERLINK(CONCATENATE("http://crfop.gdos.gov.pl/CRFOP/widok/viewpomnikprzyrody.jsf?fop=","PL.ZIPOP.1393.PP.1061011.32"),"(kliknij lub Ctrl+kliknij)")</f>
        <v>(kliknij lub Ctrl+kliknij)</v>
      </c>
      <c r="H1869" s="0" t="s">
        <v>1075</v>
      </c>
    </row>
    <row r="1870" customFormat="false" ht="12.8" hidden="false" customHeight="false" outlineLevel="0" collapsed="false">
      <c r="A1870" s="1" t="s">
        <v>569</v>
      </c>
      <c r="C1870" s="3" t="s">
        <v>710</v>
      </c>
      <c r="D1870" s="4" t="s">
        <v>571</v>
      </c>
      <c r="F1870" s="6" t="s">
        <v>711</v>
      </c>
      <c r="G1870" s="7" t="str">
        <f aca="false">HYPERLINK(CONCATENATE("http://crfop.gdos.gov.pl/CRFOP/widok/viewpomnikprzyrody.jsf?fop=","PL.ZIPOP.1393.PP.1061011.33"),"(kliknij lub Ctrl+kliknij)")</f>
        <v>(kliknij lub Ctrl+kliknij)</v>
      </c>
      <c r="H1870" s="0" t="s">
        <v>1075</v>
      </c>
    </row>
    <row r="1871" customFormat="false" ht="12.8" hidden="false" customHeight="false" outlineLevel="0" collapsed="false">
      <c r="A1871" s="1" t="s">
        <v>569</v>
      </c>
      <c r="C1871" s="3" t="s">
        <v>710</v>
      </c>
      <c r="D1871" s="4" t="s">
        <v>571</v>
      </c>
      <c r="F1871" s="6" t="s">
        <v>711</v>
      </c>
      <c r="G1871" s="7" t="str">
        <f aca="false">HYPERLINK(CONCATENATE("http://crfop.gdos.gov.pl/CRFOP/widok/viewpomnikprzyrody.jsf?fop=","PL.ZIPOP.1393.PP.1061011.34"),"(kliknij lub Ctrl+kliknij)")</f>
        <v>(kliknij lub Ctrl+kliknij)</v>
      </c>
      <c r="H1871" s="0" t="s">
        <v>1075</v>
      </c>
    </row>
    <row r="1872" customFormat="false" ht="12.8" hidden="false" customHeight="false" outlineLevel="0" collapsed="false">
      <c r="A1872" s="1" t="s">
        <v>569</v>
      </c>
      <c r="C1872" s="3" t="s">
        <v>710</v>
      </c>
      <c r="D1872" s="4" t="s">
        <v>571</v>
      </c>
      <c r="F1872" s="6" t="s">
        <v>711</v>
      </c>
      <c r="G1872" s="7" t="str">
        <f aca="false">HYPERLINK(CONCATENATE("http://crfop.gdos.gov.pl/CRFOP/widok/viewpomnikprzyrody.jsf?fop=","PL.ZIPOP.1393.PP.1061011.35"),"(kliknij lub Ctrl+kliknij)")</f>
        <v>(kliknij lub Ctrl+kliknij)</v>
      </c>
      <c r="H1872" s="0" t="s">
        <v>1075</v>
      </c>
    </row>
    <row r="1873" customFormat="false" ht="12.8" hidden="false" customHeight="false" outlineLevel="0" collapsed="false">
      <c r="A1873" s="1" t="s">
        <v>569</v>
      </c>
      <c r="C1873" s="3" t="s">
        <v>710</v>
      </c>
      <c r="D1873" s="4" t="s">
        <v>571</v>
      </c>
      <c r="F1873" s="6" t="s">
        <v>711</v>
      </c>
      <c r="G1873" s="7" t="str">
        <f aca="false">HYPERLINK(CONCATENATE("http://crfop.gdos.gov.pl/CRFOP/widok/viewpomnikprzyrody.jsf?fop=","PL.ZIPOP.1393.PP.1061011.36"),"(kliknij lub Ctrl+kliknij)")</f>
        <v>(kliknij lub Ctrl+kliknij)</v>
      </c>
      <c r="H1873" s="0" t="s">
        <v>1075</v>
      </c>
    </row>
    <row r="1874" customFormat="false" ht="12.8" hidden="false" customHeight="false" outlineLevel="0" collapsed="false">
      <c r="A1874" s="1" t="s">
        <v>569</v>
      </c>
      <c r="C1874" s="3" t="s">
        <v>710</v>
      </c>
      <c r="D1874" s="4" t="s">
        <v>571</v>
      </c>
      <c r="F1874" s="6" t="s">
        <v>711</v>
      </c>
      <c r="G1874" s="7" t="str">
        <f aca="false">HYPERLINK(CONCATENATE("http://crfop.gdos.gov.pl/CRFOP/widok/viewpomnikprzyrody.jsf?fop=","PL.ZIPOP.1393.PP.1061011.37"),"(kliknij lub Ctrl+kliknij)")</f>
        <v>(kliknij lub Ctrl+kliknij)</v>
      </c>
      <c r="H1874" s="0" t="s">
        <v>1075</v>
      </c>
    </row>
    <row r="1875" customFormat="false" ht="12.8" hidden="false" customHeight="false" outlineLevel="0" collapsed="false">
      <c r="A1875" s="1" t="s">
        <v>569</v>
      </c>
      <c r="C1875" s="3" t="s">
        <v>710</v>
      </c>
      <c r="D1875" s="4" t="s">
        <v>571</v>
      </c>
      <c r="F1875" s="6" t="s">
        <v>711</v>
      </c>
      <c r="G1875" s="7" t="str">
        <f aca="false">HYPERLINK(CONCATENATE("http://crfop.gdos.gov.pl/CRFOP/widok/viewpomnikprzyrody.jsf?fop=","PL.ZIPOP.1393.PP.1061011.38"),"(kliknij lub Ctrl+kliknij)")</f>
        <v>(kliknij lub Ctrl+kliknij)</v>
      </c>
      <c r="H1875" s="0" t="s">
        <v>1075</v>
      </c>
    </row>
    <row r="1876" customFormat="false" ht="12.8" hidden="false" customHeight="false" outlineLevel="0" collapsed="false">
      <c r="A1876" s="1" t="s">
        <v>569</v>
      </c>
      <c r="C1876" s="3" t="s">
        <v>710</v>
      </c>
      <c r="D1876" s="4" t="s">
        <v>571</v>
      </c>
      <c r="F1876" s="6" t="s">
        <v>711</v>
      </c>
      <c r="G1876" s="7" t="str">
        <f aca="false">HYPERLINK(CONCATENATE("http://crfop.gdos.gov.pl/CRFOP/widok/viewpomnikprzyrody.jsf?fop=","PL.ZIPOP.1393.PP.1061011.39"),"(kliknij lub Ctrl+kliknij)")</f>
        <v>(kliknij lub Ctrl+kliknij)</v>
      </c>
      <c r="H1876" s="0" t="s">
        <v>1075</v>
      </c>
    </row>
    <row r="1877" customFormat="false" ht="12.8" hidden="false" customHeight="false" outlineLevel="0" collapsed="false">
      <c r="A1877" s="1" t="s">
        <v>569</v>
      </c>
      <c r="C1877" s="3" t="s">
        <v>710</v>
      </c>
      <c r="D1877" s="4" t="s">
        <v>571</v>
      </c>
      <c r="F1877" s="6" t="s">
        <v>711</v>
      </c>
      <c r="G1877" s="7" t="str">
        <f aca="false">HYPERLINK(CONCATENATE("http://crfop.gdos.gov.pl/CRFOP/widok/viewpomnikprzyrody.jsf?fop=","PL.ZIPOP.1393.PP.1061011.3"),"(kliknij lub Ctrl+kliknij)")</f>
        <v>(kliknij lub Ctrl+kliknij)</v>
      </c>
      <c r="H1877" s="0" t="s">
        <v>1075</v>
      </c>
    </row>
    <row r="1878" customFormat="false" ht="12.8" hidden="false" customHeight="false" outlineLevel="0" collapsed="false">
      <c r="A1878" s="1" t="s">
        <v>569</v>
      </c>
      <c r="C1878" s="3" t="s">
        <v>710</v>
      </c>
      <c r="D1878" s="4" t="s">
        <v>571</v>
      </c>
      <c r="F1878" s="6" t="s">
        <v>711</v>
      </c>
      <c r="G1878" s="7" t="str">
        <f aca="false">HYPERLINK(CONCATENATE("http://crfop.gdos.gov.pl/CRFOP/widok/viewpomnikprzyrody.jsf?fop=","PL.ZIPOP.1393.PP.1061011.40"),"(kliknij lub Ctrl+kliknij)")</f>
        <v>(kliknij lub Ctrl+kliknij)</v>
      </c>
      <c r="H1878" s="0" t="s">
        <v>1075</v>
      </c>
    </row>
    <row r="1879" customFormat="false" ht="12.8" hidden="false" customHeight="false" outlineLevel="0" collapsed="false">
      <c r="A1879" s="1" t="s">
        <v>569</v>
      </c>
      <c r="C1879" s="3" t="s">
        <v>710</v>
      </c>
      <c r="D1879" s="4" t="s">
        <v>571</v>
      </c>
      <c r="F1879" s="6" t="s">
        <v>711</v>
      </c>
      <c r="G1879" s="7" t="str">
        <f aca="false">HYPERLINK(CONCATENATE("http://crfop.gdos.gov.pl/CRFOP/widok/viewpomnikprzyrody.jsf?fop=","PL.ZIPOP.1393.PP.1061011.41"),"(kliknij lub Ctrl+kliknij)")</f>
        <v>(kliknij lub Ctrl+kliknij)</v>
      </c>
      <c r="H1879" s="0" t="s">
        <v>1075</v>
      </c>
    </row>
    <row r="1880" customFormat="false" ht="12.8" hidden="false" customHeight="false" outlineLevel="0" collapsed="false">
      <c r="A1880" s="1" t="s">
        <v>569</v>
      </c>
      <c r="C1880" s="3" t="s">
        <v>710</v>
      </c>
      <c r="D1880" s="4" t="s">
        <v>571</v>
      </c>
      <c r="F1880" s="6" t="s">
        <v>711</v>
      </c>
      <c r="G1880" s="7" t="str">
        <f aca="false">HYPERLINK(CONCATENATE("http://crfop.gdos.gov.pl/CRFOP/widok/viewpomnikprzyrody.jsf?fop=","PL.ZIPOP.1393.PP.1061011.43"),"(kliknij lub Ctrl+kliknij)")</f>
        <v>(kliknij lub Ctrl+kliknij)</v>
      </c>
      <c r="H1880" s="0" t="s">
        <v>1075</v>
      </c>
    </row>
    <row r="1881" customFormat="false" ht="12.8" hidden="false" customHeight="false" outlineLevel="0" collapsed="false">
      <c r="A1881" s="1" t="s">
        <v>569</v>
      </c>
      <c r="B1881" s="2" t="s">
        <v>1095</v>
      </c>
      <c r="C1881" s="3" t="s">
        <v>707</v>
      </c>
      <c r="D1881" s="4" t="s">
        <v>571</v>
      </c>
      <c r="F1881" s="6" t="s">
        <v>708</v>
      </c>
      <c r="G1881" s="7" t="str">
        <f aca="false">HYPERLINK(CONCATENATE("http://crfop.gdos.gov.pl/CRFOP/widok/viewpomnikprzyrody.jsf?fop=","PL.ZIPOP.1393.PP.1061011.448"),"(kliknij lub Ctrl+kliknij)")</f>
        <v>(kliknij lub Ctrl+kliknij)</v>
      </c>
      <c r="H1881" s="0" t="s">
        <v>1075</v>
      </c>
    </row>
    <row r="1882" customFormat="false" ht="12.8" hidden="false" customHeight="false" outlineLevel="0" collapsed="false">
      <c r="A1882" s="1" t="s">
        <v>569</v>
      </c>
      <c r="C1882" s="3" t="s">
        <v>710</v>
      </c>
      <c r="D1882" s="4" t="s">
        <v>571</v>
      </c>
      <c r="F1882" s="6" t="s">
        <v>711</v>
      </c>
      <c r="G1882" s="7" t="str">
        <f aca="false">HYPERLINK(CONCATENATE("http://crfop.gdos.gov.pl/CRFOP/widok/viewpomnikprzyrody.jsf?fop=","PL.ZIPOP.1393.PP.1061011.44"),"(kliknij lub Ctrl+kliknij)")</f>
        <v>(kliknij lub Ctrl+kliknij)</v>
      </c>
      <c r="H1882" s="0" t="s">
        <v>1075</v>
      </c>
    </row>
    <row r="1883" customFormat="false" ht="12.8" hidden="false" customHeight="false" outlineLevel="0" collapsed="false">
      <c r="A1883" s="1" t="s">
        <v>569</v>
      </c>
      <c r="C1883" s="3" t="s">
        <v>710</v>
      </c>
      <c r="D1883" s="4" t="s">
        <v>571</v>
      </c>
      <c r="F1883" s="6" t="s">
        <v>711</v>
      </c>
      <c r="G1883" s="7" t="str">
        <f aca="false">HYPERLINK(CONCATENATE("http://crfop.gdos.gov.pl/CRFOP/widok/viewpomnikprzyrody.jsf?fop=","PL.ZIPOP.1393.PP.1061011.45"),"(kliknij lub Ctrl+kliknij)")</f>
        <v>(kliknij lub Ctrl+kliknij)</v>
      </c>
      <c r="H1883" s="0" t="s">
        <v>1075</v>
      </c>
    </row>
    <row r="1884" customFormat="false" ht="12.8" hidden="false" customHeight="false" outlineLevel="0" collapsed="false">
      <c r="A1884" s="1" t="s">
        <v>569</v>
      </c>
      <c r="C1884" s="3" t="s">
        <v>710</v>
      </c>
      <c r="D1884" s="4" t="s">
        <v>571</v>
      </c>
      <c r="F1884" s="6" t="s">
        <v>711</v>
      </c>
      <c r="G1884" s="7" t="str">
        <f aca="false">HYPERLINK(CONCATENATE("http://crfop.gdos.gov.pl/CRFOP/widok/viewpomnikprzyrody.jsf?fop=","PL.ZIPOP.1393.PP.1061011.46"),"(kliknij lub Ctrl+kliknij)")</f>
        <v>(kliknij lub Ctrl+kliknij)</v>
      </c>
      <c r="H1884" s="0" t="s">
        <v>1075</v>
      </c>
    </row>
    <row r="1885" customFormat="false" ht="12.8" hidden="false" customHeight="false" outlineLevel="0" collapsed="false">
      <c r="A1885" s="1" t="s">
        <v>569</v>
      </c>
      <c r="C1885" s="3" t="s">
        <v>710</v>
      </c>
      <c r="D1885" s="4" t="s">
        <v>571</v>
      </c>
      <c r="F1885" s="6" t="s">
        <v>711</v>
      </c>
      <c r="G1885" s="7" t="str">
        <f aca="false">HYPERLINK(CONCATENATE("http://crfop.gdos.gov.pl/CRFOP/widok/viewpomnikprzyrody.jsf?fop=","PL.ZIPOP.1393.PP.1061011.47"),"(kliknij lub Ctrl+kliknij)")</f>
        <v>(kliknij lub Ctrl+kliknij)</v>
      </c>
      <c r="H1885" s="0" t="s">
        <v>1075</v>
      </c>
    </row>
    <row r="1886" customFormat="false" ht="12.8" hidden="false" customHeight="false" outlineLevel="0" collapsed="false">
      <c r="A1886" s="1" t="s">
        <v>569</v>
      </c>
      <c r="C1886" s="3" t="s">
        <v>710</v>
      </c>
      <c r="D1886" s="4" t="s">
        <v>571</v>
      </c>
      <c r="F1886" s="6" t="s">
        <v>711</v>
      </c>
      <c r="G1886" s="7" t="str">
        <f aca="false">HYPERLINK(CONCATENATE("http://crfop.gdos.gov.pl/CRFOP/widok/viewpomnikprzyrody.jsf?fop=","PL.ZIPOP.1393.PP.1061011.48"),"(kliknij lub Ctrl+kliknij)")</f>
        <v>(kliknij lub Ctrl+kliknij)</v>
      </c>
      <c r="H1886" s="0" t="s">
        <v>1075</v>
      </c>
    </row>
    <row r="1887" customFormat="false" ht="12.8" hidden="false" customHeight="false" outlineLevel="0" collapsed="false">
      <c r="A1887" s="1" t="s">
        <v>569</v>
      </c>
      <c r="C1887" s="3" t="s">
        <v>710</v>
      </c>
      <c r="D1887" s="4" t="s">
        <v>571</v>
      </c>
      <c r="F1887" s="6" t="s">
        <v>711</v>
      </c>
      <c r="G1887" s="7" t="str">
        <f aca="false">HYPERLINK(CONCATENATE("http://crfop.gdos.gov.pl/CRFOP/widok/viewpomnikprzyrody.jsf?fop=","PL.ZIPOP.1393.PP.1061011.4"),"(kliknij lub Ctrl+kliknij)")</f>
        <v>(kliknij lub Ctrl+kliknij)</v>
      </c>
      <c r="H1887" s="0" t="s">
        <v>1075</v>
      </c>
    </row>
    <row r="1888" customFormat="false" ht="12.8" hidden="false" customHeight="false" outlineLevel="0" collapsed="false">
      <c r="A1888" s="1" t="s">
        <v>569</v>
      </c>
      <c r="C1888" s="3" t="s">
        <v>710</v>
      </c>
      <c r="D1888" s="4" t="s">
        <v>571</v>
      </c>
      <c r="F1888" s="6" t="s">
        <v>711</v>
      </c>
      <c r="G1888" s="7" t="str">
        <f aca="false">HYPERLINK(CONCATENATE("http://crfop.gdos.gov.pl/CRFOP/widok/viewpomnikprzyrody.jsf?fop=","PL.ZIPOP.1393.PP.1061011.5000"),"(kliknij lub Ctrl+kliknij)")</f>
        <v>(kliknij lub Ctrl+kliknij)</v>
      </c>
      <c r="H1888" s="0" t="s">
        <v>1075</v>
      </c>
    </row>
    <row r="1889" customFormat="false" ht="12.8" hidden="false" customHeight="false" outlineLevel="0" collapsed="false">
      <c r="A1889" s="1" t="s">
        <v>569</v>
      </c>
      <c r="C1889" s="3" t="s">
        <v>710</v>
      </c>
      <c r="D1889" s="4" t="s">
        <v>571</v>
      </c>
      <c r="F1889" s="6" t="s">
        <v>711</v>
      </c>
      <c r="G1889" s="7" t="str">
        <f aca="false">HYPERLINK(CONCATENATE("http://crfop.gdos.gov.pl/CRFOP/widok/viewpomnikprzyrody.jsf?fop=","PL.ZIPOP.1393.PP.1061011.50"),"(kliknij lub Ctrl+kliknij)")</f>
        <v>(kliknij lub Ctrl+kliknij)</v>
      </c>
      <c r="H1889" s="0" t="s">
        <v>1075</v>
      </c>
    </row>
    <row r="1890" customFormat="false" ht="12.8" hidden="false" customHeight="false" outlineLevel="0" collapsed="false">
      <c r="A1890" s="1" t="s">
        <v>569</v>
      </c>
      <c r="C1890" s="3" t="s">
        <v>710</v>
      </c>
      <c r="D1890" s="4" t="s">
        <v>571</v>
      </c>
      <c r="F1890" s="6" t="s">
        <v>711</v>
      </c>
      <c r="G1890" s="7" t="str">
        <f aca="false">HYPERLINK(CONCATENATE("http://crfop.gdos.gov.pl/CRFOP/widok/viewpomnikprzyrody.jsf?fop=","PL.ZIPOP.1393.PP.1061011.51"),"(kliknij lub Ctrl+kliknij)")</f>
        <v>(kliknij lub Ctrl+kliknij)</v>
      </c>
      <c r="H1890" s="0" t="s">
        <v>1075</v>
      </c>
    </row>
    <row r="1891" customFormat="false" ht="12.8" hidden="false" customHeight="false" outlineLevel="0" collapsed="false">
      <c r="A1891" s="1" t="s">
        <v>569</v>
      </c>
      <c r="C1891" s="3" t="s">
        <v>1083</v>
      </c>
      <c r="D1891" s="4" t="s">
        <v>571</v>
      </c>
      <c r="F1891" s="6" t="s">
        <v>708</v>
      </c>
      <c r="G1891" s="7" t="str">
        <f aca="false">HYPERLINK(CONCATENATE("http://crfop.gdos.gov.pl/CRFOP/widok/viewpomnikprzyrody.jsf?fop=","PL.ZIPOP.1393.PP.1061011.52"),"(kliknij lub Ctrl+kliknij)")</f>
        <v>(kliknij lub Ctrl+kliknij)</v>
      </c>
      <c r="H1891" s="0" t="s">
        <v>1075</v>
      </c>
    </row>
    <row r="1892" customFormat="false" ht="12.8" hidden="false" customHeight="false" outlineLevel="0" collapsed="false">
      <c r="A1892" s="1" t="s">
        <v>569</v>
      </c>
      <c r="C1892" s="3" t="s">
        <v>710</v>
      </c>
      <c r="D1892" s="4" t="s">
        <v>571</v>
      </c>
      <c r="F1892" s="6" t="s">
        <v>711</v>
      </c>
      <c r="G1892" s="7" t="str">
        <f aca="false">HYPERLINK(CONCATENATE("http://crfop.gdos.gov.pl/CRFOP/widok/viewpomnikprzyrody.jsf?fop=","PL.ZIPOP.1393.PP.1061011.53"),"(kliknij lub Ctrl+kliknij)")</f>
        <v>(kliknij lub Ctrl+kliknij)</v>
      </c>
      <c r="H1892" s="0" t="s">
        <v>1075</v>
      </c>
    </row>
    <row r="1893" customFormat="false" ht="12.8" hidden="false" customHeight="false" outlineLevel="0" collapsed="false">
      <c r="A1893" s="1" t="s">
        <v>569</v>
      </c>
      <c r="C1893" s="3" t="s">
        <v>710</v>
      </c>
      <c r="D1893" s="4" t="s">
        <v>571</v>
      </c>
      <c r="F1893" s="6" t="s">
        <v>711</v>
      </c>
      <c r="G1893" s="7" t="str">
        <f aca="false">HYPERLINK(CONCATENATE("http://crfop.gdos.gov.pl/CRFOP/widok/viewpomnikprzyrody.jsf?fop=","PL.ZIPOP.1393.PP.1061011.54"),"(kliknij lub Ctrl+kliknij)")</f>
        <v>(kliknij lub Ctrl+kliknij)</v>
      </c>
      <c r="H1893" s="0" t="s">
        <v>1075</v>
      </c>
    </row>
    <row r="1894" customFormat="false" ht="12.8" hidden="false" customHeight="false" outlineLevel="0" collapsed="false">
      <c r="A1894" s="1" t="s">
        <v>569</v>
      </c>
      <c r="C1894" s="3" t="s">
        <v>710</v>
      </c>
      <c r="D1894" s="4" t="s">
        <v>571</v>
      </c>
      <c r="F1894" s="6" t="s">
        <v>711</v>
      </c>
      <c r="G1894" s="7" t="str">
        <f aca="false">HYPERLINK(CONCATENATE("http://crfop.gdos.gov.pl/CRFOP/widok/viewpomnikprzyrody.jsf?fop=","PL.ZIPOP.1393.PP.1061011.55"),"(kliknij lub Ctrl+kliknij)")</f>
        <v>(kliknij lub Ctrl+kliknij)</v>
      </c>
      <c r="H1894" s="0" t="s">
        <v>1075</v>
      </c>
    </row>
    <row r="1895" customFormat="false" ht="12.8" hidden="false" customHeight="false" outlineLevel="0" collapsed="false">
      <c r="A1895" s="1" t="s">
        <v>569</v>
      </c>
      <c r="C1895" s="3" t="s">
        <v>710</v>
      </c>
      <c r="D1895" s="4" t="s">
        <v>571</v>
      </c>
      <c r="F1895" s="6" t="s">
        <v>711</v>
      </c>
      <c r="G1895" s="7" t="str">
        <f aca="false">HYPERLINK(CONCATENATE("http://crfop.gdos.gov.pl/CRFOP/widok/viewpomnikprzyrody.jsf?fop=","PL.ZIPOP.1393.PP.1061011.56"),"(kliknij lub Ctrl+kliknij)")</f>
        <v>(kliknij lub Ctrl+kliknij)</v>
      </c>
      <c r="H1895" s="0" t="s">
        <v>1075</v>
      </c>
    </row>
    <row r="1896" customFormat="false" ht="12.8" hidden="false" customHeight="false" outlineLevel="0" collapsed="false">
      <c r="A1896" s="1" t="s">
        <v>569</v>
      </c>
      <c r="C1896" s="3" t="s">
        <v>710</v>
      </c>
      <c r="D1896" s="4" t="s">
        <v>571</v>
      </c>
      <c r="F1896" s="6" t="s">
        <v>711</v>
      </c>
      <c r="G1896" s="7" t="str">
        <f aca="false">HYPERLINK(CONCATENATE("http://crfop.gdos.gov.pl/CRFOP/widok/viewpomnikprzyrody.jsf?fop=","PL.ZIPOP.1393.PP.1061011.57"),"(kliknij lub Ctrl+kliknij)")</f>
        <v>(kliknij lub Ctrl+kliknij)</v>
      </c>
      <c r="H1896" s="0" t="s">
        <v>1075</v>
      </c>
    </row>
    <row r="1897" customFormat="false" ht="12.8" hidden="false" customHeight="false" outlineLevel="0" collapsed="false">
      <c r="A1897" s="1" t="s">
        <v>569</v>
      </c>
      <c r="C1897" s="3" t="s">
        <v>710</v>
      </c>
      <c r="D1897" s="4" t="s">
        <v>571</v>
      </c>
      <c r="F1897" s="6" t="s">
        <v>711</v>
      </c>
      <c r="G1897" s="7" t="str">
        <f aca="false">HYPERLINK(CONCATENATE("http://crfop.gdos.gov.pl/CRFOP/widok/viewpomnikprzyrody.jsf?fop=","PL.ZIPOP.1393.PP.1061011.58"),"(kliknij lub Ctrl+kliknij)")</f>
        <v>(kliknij lub Ctrl+kliknij)</v>
      </c>
      <c r="H1897" s="0" t="s">
        <v>1075</v>
      </c>
    </row>
    <row r="1898" customFormat="false" ht="12.8" hidden="false" customHeight="false" outlineLevel="0" collapsed="false">
      <c r="A1898" s="1" t="s">
        <v>569</v>
      </c>
      <c r="C1898" s="3" t="s">
        <v>710</v>
      </c>
      <c r="D1898" s="4" t="s">
        <v>571</v>
      </c>
      <c r="F1898" s="6" t="s">
        <v>711</v>
      </c>
      <c r="G1898" s="7" t="str">
        <f aca="false">HYPERLINK(CONCATENATE("http://crfop.gdos.gov.pl/CRFOP/widok/viewpomnikprzyrody.jsf?fop=","PL.ZIPOP.1393.PP.1061011.59"),"(kliknij lub Ctrl+kliknij)")</f>
        <v>(kliknij lub Ctrl+kliknij)</v>
      </c>
      <c r="H1898" s="0" t="s">
        <v>1075</v>
      </c>
    </row>
    <row r="1899" customFormat="false" ht="12.8" hidden="false" customHeight="false" outlineLevel="0" collapsed="false">
      <c r="A1899" s="1" t="s">
        <v>569</v>
      </c>
      <c r="C1899" s="3" t="s">
        <v>710</v>
      </c>
      <c r="D1899" s="4" t="s">
        <v>571</v>
      </c>
      <c r="F1899" s="6" t="s">
        <v>711</v>
      </c>
      <c r="G1899" s="7" t="str">
        <f aca="false">HYPERLINK(CONCATENATE("http://crfop.gdos.gov.pl/CRFOP/widok/viewpomnikprzyrody.jsf?fop=","PL.ZIPOP.1393.PP.1061011.5"),"(kliknij lub Ctrl+kliknij)")</f>
        <v>(kliknij lub Ctrl+kliknij)</v>
      </c>
      <c r="H1899" s="0" t="s">
        <v>1075</v>
      </c>
    </row>
    <row r="1900" customFormat="false" ht="12.8" hidden="false" customHeight="false" outlineLevel="0" collapsed="false">
      <c r="A1900" s="1" t="s">
        <v>569</v>
      </c>
      <c r="C1900" s="3" t="s">
        <v>710</v>
      </c>
      <c r="D1900" s="4" t="s">
        <v>571</v>
      </c>
      <c r="F1900" s="6" t="s">
        <v>711</v>
      </c>
      <c r="G1900" s="7" t="str">
        <f aca="false">HYPERLINK(CONCATENATE("http://crfop.gdos.gov.pl/CRFOP/widok/viewpomnikprzyrody.jsf?fop=","PL.ZIPOP.1393.PP.1061011.61"),"(kliknij lub Ctrl+kliknij)")</f>
        <v>(kliknij lub Ctrl+kliknij)</v>
      </c>
      <c r="H1900" s="0" t="s">
        <v>1075</v>
      </c>
    </row>
    <row r="1901" customFormat="false" ht="12.8" hidden="false" customHeight="false" outlineLevel="0" collapsed="false">
      <c r="A1901" s="1" t="s">
        <v>569</v>
      </c>
      <c r="C1901" s="3" t="s">
        <v>710</v>
      </c>
      <c r="D1901" s="4" t="s">
        <v>571</v>
      </c>
      <c r="F1901" s="6" t="s">
        <v>711</v>
      </c>
      <c r="G1901" s="7" t="str">
        <f aca="false">HYPERLINK(CONCATENATE("http://crfop.gdos.gov.pl/CRFOP/widok/viewpomnikprzyrody.jsf?fop=","PL.ZIPOP.1393.PP.1061011.62"),"(kliknij lub Ctrl+kliknij)")</f>
        <v>(kliknij lub Ctrl+kliknij)</v>
      </c>
      <c r="H1901" s="0" t="s">
        <v>1075</v>
      </c>
    </row>
    <row r="1902" customFormat="false" ht="12.8" hidden="false" customHeight="false" outlineLevel="0" collapsed="false">
      <c r="A1902" s="1" t="s">
        <v>569</v>
      </c>
      <c r="C1902" s="3" t="s">
        <v>710</v>
      </c>
      <c r="D1902" s="4" t="s">
        <v>571</v>
      </c>
      <c r="F1902" s="6" t="s">
        <v>711</v>
      </c>
      <c r="G1902" s="7" t="str">
        <f aca="false">HYPERLINK(CONCATENATE("http://crfop.gdos.gov.pl/CRFOP/widok/viewpomnikprzyrody.jsf?fop=","PL.ZIPOP.1393.PP.1061011.64"),"(kliknij lub Ctrl+kliknij)")</f>
        <v>(kliknij lub Ctrl+kliknij)</v>
      </c>
      <c r="H1902" s="0" t="s">
        <v>1075</v>
      </c>
    </row>
    <row r="1903" customFormat="false" ht="12.8" hidden="false" customHeight="false" outlineLevel="0" collapsed="false">
      <c r="A1903" s="1" t="s">
        <v>569</v>
      </c>
      <c r="C1903" s="3" t="s">
        <v>710</v>
      </c>
      <c r="D1903" s="4" t="s">
        <v>571</v>
      </c>
      <c r="F1903" s="6" t="s">
        <v>711</v>
      </c>
      <c r="G1903" s="7" t="str">
        <f aca="false">HYPERLINK(CONCATENATE("http://crfop.gdos.gov.pl/CRFOP/widok/viewpomnikprzyrody.jsf?fop=","PL.ZIPOP.1393.PP.1061011.65"),"(kliknij lub Ctrl+kliknij)")</f>
        <v>(kliknij lub Ctrl+kliknij)</v>
      </c>
      <c r="H1903" s="0" t="s">
        <v>1075</v>
      </c>
    </row>
    <row r="1904" customFormat="false" ht="12.8" hidden="false" customHeight="false" outlineLevel="0" collapsed="false">
      <c r="A1904" s="1" t="s">
        <v>569</v>
      </c>
      <c r="C1904" s="3" t="s">
        <v>710</v>
      </c>
      <c r="D1904" s="4" t="s">
        <v>571</v>
      </c>
      <c r="F1904" s="6" t="s">
        <v>711</v>
      </c>
      <c r="G1904" s="7" t="str">
        <f aca="false">HYPERLINK(CONCATENATE("http://crfop.gdos.gov.pl/CRFOP/widok/viewpomnikprzyrody.jsf?fop=","PL.ZIPOP.1393.PP.1061011.66"),"(kliknij lub Ctrl+kliknij)")</f>
        <v>(kliknij lub Ctrl+kliknij)</v>
      </c>
      <c r="H1904" s="0" t="s">
        <v>1075</v>
      </c>
    </row>
    <row r="1905" customFormat="false" ht="12.8" hidden="false" customHeight="false" outlineLevel="0" collapsed="false">
      <c r="A1905" s="1" t="s">
        <v>569</v>
      </c>
      <c r="C1905" s="3" t="s">
        <v>710</v>
      </c>
      <c r="D1905" s="4" t="s">
        <v>571</v>
      </c>
      <c r="F1905" s="6" t="s">
        <v>711</v>
      </c>
      <c r="G1905" s="7" t="str">
        <f aca="false">HYPERLINK(CONCATENATE("http://crfop.gdos.gov.pl/CRFOP/widok/viewpomnikprzyrody.jsf?fop=","PL.ZIPOP.1393.PP.1061011.67"),"(kliknij lub Ctrl+kliknij)")</f>
        <v>(kliknij lub Ctrl+kliknij)</v>
      </c>
      <c r="H1905" s="0" t="s">
        <v>1075</v>
      </c>
    </row>
    <row r="1906" customFormat="false" ht="12.8" hidden="false" customHeight="false" outlineLevel="0" collapsed="false">
      <c r="A1906" s="1" t="s">
        <v>569</v>
      </c>
      <c r="C1906" s="3" t="s">
        <v>710</v>
      </c>
      <c r="D1906" s="4" t="s">
        <v>571</v>
      </c>
      <c r="F1906" s="6" t="s">
        <v>711</v>
      </c>
      <c r="G1906" s="7" t="str">
        <f aca="false">HYPERLINK(CONCATENATE("http://crfop.gdos.gov.pl/CRFOP/widok/viewpomnikprzyrody.jsf?fop=","PL.ZIPOP.1393.PP.1061011.68"),"(kliknij lub Ctrl+kliknij)")</f>
        <v>(kliknij lub Ctrl+kliknij)</v>
      </c>
      <c r="H1906" s="0" t="s">
        <v>1075</v>
      </c>
    </row>
    <row r="1907" customFormat="false" ht="12.8" hidden="false" customHeight="false" outlineLevel="0" collapsed="false">
      <c r="A1907" s="1" t="s">
        <v>569</v>
      </c>
      <c r="C1907" s="3" t="s">
        <v>710</v>
      </c>
      <c r="D1907" s="4" t="s">
        <v>571</v>
      </c>
      <c r="F1907" s="6" t="s">
        <v>711</v>
      </c>
      <c r="G1907" s="7" t="str">
        <f aca="false">HYPERLINK(CONCATENATE("http://crfop.gdos.gov.pl/CRFOP/widok/viewpomnikprzyrody.jsf?fop=","PL.ZIPOP.1393.PP.1061011.69"),"(kliknij lub Ctrl+kliknij)")</f>
        <v>(kliknij lub Ctrl+kliknij)</v>
      </c>
      <c r="H1907" s="0" t="s">
        <v>1075</v>
      </c>
    </row>
    <row r="1908" customFormat="false" ht="12.8" hidden="false" customHeight="false" outlineLevel="0" collapsed="false">
      <c r="A1908" s="1" t="s">
        <v>569</v>
      </c>
      <c r="C1908" s="3" t="s">
        <v>710</v>
      </c>
      <c r="D1908" s="4" t="s">
        <v>571</v>
      </c>
      <c r="F1908" s="6" t="s">
        <v>711</v>
      </c>
      <c r="G1908" s="7" t="str">
        <f aca="false">HYPERLINK(CONCATENATE("http://crfop.gdos.gov.pl/CRFOP/widok/viewpomnikprzyrody.jsf?fop=","PL.ZIPOP.1393.PP.1061011.6"),"(kliknij lub Ctrl+kliknij)")</f>
        <v>(kliknij lub Ctrl+kliknij)</v>
      </c>
      <c r="H1908" s="0" t="s">
        <v>1075</v>
      </c>
    </row>
    <row r="1909" customFormat="false" ht="12.8" hidden="false" customHeight="false" outlineLevel="0" collapsed="false">
      <c r="A1909" s="1" t="s">
        <v>569</v>
      </c>
      <c r="C1909" s="3" t="s">
        <v>710</v>
      </c>
      <c r="D1909" s="4" t="s">
        <v>571</v>
      </c>
      <c r="F1909" s="6" t="s">
        <v>711</v>
      </c>
      <c r="G1909" s="7" t="str">
        <f aca="false">HYPERLINK(CONCATENATE("http://crfop.gdos.gov.pl/CRFOP/widok/viewpomnikprzyrody.jsf?fop=","PL.ZIPOP.1393.PP.1061011.70"),"(kliknij lub Ctrl+kliknij)")</f>
        <v>(kliknij lub Ctrl+kliknij)</v>
      </c>
      <c r="H1909" s="0" t="s">
        <v>1075</v>
      </c>
    </row>
    <row r="1910" customFormat="false" ht="12.8" hidden="false" customHeight="false" outlineLevel="0" collapsed="false">
      <c r="A1910" s="1" t="s">
        <v>569</v>
      </c>
      <c r="C1910" s="3" t="s">
        <v>710</v>
      </c>
      <c r="D1910" s="4" t="s">
        <v>571</v>
      </c>
      <c r="F1910" s="6" t="s">
        <v>711</v>
      </c>
      <c r="G1910" s="7" t="str">
        <f aca="false">HYPERLINK(CONCATENATE("http://crfop.gdos.gov.pl/CRFOP/widok/viewpomnikprzyrody.jsf?fop=","PL.ZIPOP.1393.PP.1061011.71"),"(kliknij lub Ctrl+kliknij)")</f>
        <v>(kliknij lub Ctrl+kliknij)</v>
      </c>
      <c r="H1910" s="0" t="s">
        <v>1075</v>
      </c>
    </row>
    <row r="1911" customFormat="false" ht="12.8" hidden="false" customHeight="false" outlineLevel="0" collapsed="false">
      <c r="A1911" s="1" t="s">
        <v>569</v>
      </c>
      <c r="C1911" s="3" t="s">
        <v>710</v>
      </c>
      <c r="D1911" s="4" t="s">
        <v>571</v>
      </c>
      <c r="F1911" s="6" t="s">
        <v>711</v>
      </c>
      <c r="G1911" s="7" t="str">
        <f aca="false">HYPERLINK(CONCATENATE("http://crfop.gdos.gov.pl/CRFOP/widok/viewpomnikprzyrody.jsf?fop=","PL.ZIPOP.1393.PP.1061011.72"),"(kliknij lub Ctrl+kliknij)")</f>
        <v>(kliknij lub Ctrl+kliknij)</v>
      </c>
      <c r="H1911" s="0" t="s">
        <v>1075</v>
      </c>
    </row>
    <row r="1912" customFormat="false" ht="12.8" hidden="false" customHeight="false" outlineLevel="0" collapsed="false">
      <c r="A1912" s="1" t="s">
        <v>569</v>
      </c>
      <c r="C1912" s="3" t="s">
        <v>710</v>
      </c>
      <c r="D1912" s="4" t="s">
        <v>571</v>
      </c>
      <c r="F1912" s="6" t="s">
        <v>711</v>
      </c>
      <c r="G1912" s="7" t="str">
        <f aca="false">HYPERLINK(CONCATENATE("http://crfop.gdos.gov.pl/CRFOP/widok/viewpomnikprzyrody.jsf?fop=","PL.ZIPOP.1393.PP.1061011.73"),"(kliknij lub Ctrl+kliknij)")</f>
        <v>(kliknij lub Ctrl+kliknij)</v>
      </c>
      <c r="H1912" s="0" t="s">
        <v>1075</v>
      </c>
    </row>
    <row r="1913" customFormat="false" ht="12.8" hidden="false" customHeight="false" outlineLevel="0" collapsed="false">
      <c r="A1913" s="1" t="s">
        <v>569</v>
      </c>
      <c r="C1913" s="3" t="s">
        <v>710</v>
      </c>
      <c r="D1913" s="4" t="s">
        <v>571</v>
      </c>
      <c r="F1913" s="6" t="s">
        <v>711</v>
      </c>
      <c r="G1913" s="7" t="str">
        <f aca="false">HYPERLINK(CONCATENATE("http://crfop.gdos.gov.pl/CRFOP/widok/viewpomnikprzyrody.jsf?fop=","PL.ZIPOP.1393.PP.1061011.74"),"(kliknij lub Ctrl+kliknij)")</f>
        <v>(kliknij lub Ctrl+kliknij)</v>
      </c>
      <c r="H1913" s="0" t="s">
        <v>1075</v>
      </c>
    </row>
    <row r="1914" customFormat="false" ht="12.8" hidden="false" customHeight="false" outlineLevel="0" collapsed="false">
      <c r="A1914" s="1" t="s">
        <v>569</v>
      </c>
      <c r="C1914" s="3" t="s">
        <v>710</v>
      </c>
      <c r="D1914" s="4" t="s">
        <v>571</v>
      </c>
      <c r="F1914" s="6" t="s">
        <v>711</v>
      </c>
      <c r="G1914" s="7" t="str">
        <f aca="false">HYPERLINK(CONCATENATE("http://crfop.gdos.gov.pl/CRFOP/widok/viewpomnikprzyrody.jsf?fop=","PL.ZIPOP.1393.PP.1061011.76"),"(kliknij lub Ctrl+kliknij)")</f>
        <v>(kliknij lub Ctrl+kliknij)</v>
      </c>
      <c r="H1914" s="0" t="s">
        <v>1075</v>
      </c>
    </row>
    <row r="1915" customFormat="false" ht="12.8" hidden="false" customHeight="false" outlineLevel="0" collapsed="false">
      <c r="A1915" s="1" t="s">
        <v>569</v>
      </c>
      <c r="C1915" s="3" t="s">
        <v>710</v>
      </c>
      <c r="D1915" s="4" t="s">
        <v>571</v>
      </c>
      <c r="F1915" s="6" t="s">
        <v>711</v>
      </c>
      <c r="G1915" s="7" t="str">
        <f aca="false">HYPERLINK(CONCATENATE("http://crfop.gdos.gov.pl/CRFOP/widok/viewpomnikprzyrody.jsf?fop=","PL.ZIPOP.1393.PP.1061011.77"),"(kliknij lub Ctrl+kliknij)")</f>
        <v>(kliknij lub Ctrl+kliknij)</v>
      </c>
      <c r="H1915" s="0" t="s">
        <v>1075</v>
      </c>
    </row>
    <row r="1916" customFormat="false" ht="12.8" hidden="false" customHeight="false" outlineLevel="0" collapsed="false">
      <c r="A1916" s="1" t="s">
        <v>569</v>
      </c>
      <c r="C1916" s="3" t="s">
        <v>710</v>
      </c>
      <c r="D1916" s="4" t="s">
        <v>571</v>
      </c>
      <c r="F1916" s="6" t="s">
        <v>711</v>
      </c>
      <c r="G1916" s="7" t="str">
        <f aca="false">HYPERLINK(CONCATENATE("http://crfop.gdos.gov.pl/CRFOP/widok/viewpomnikprzyrody.jsf?fop=","PL.ZIPOP.1393.PP.1061011.78"),"(kliknij lub Ctrl+kliknij)")</f>
        <v>(kliknij lub Ctrl+kliknij)</v>
      </c>
      <c r="H1916" s="0" t="s">
        <v>1075</v>
      </c>
    </row>
    <row r="1917" customFormat="false" ht="12.8" hidden="false" customHeight="false" outlineLevel="0" collapsed="false">
      <c r="A1917" s="1" t="s">
        <v>569</v>
      </c>
      <c r="C1917" s="3" t="s">
        <v>710</v>
      </c>
      <c r="D1917" s="4" t="s">
        <v>571</v>
      </c>
      <c r="F1917" s="6" t="s">
        <v>711</v>
      </c>
      <c r="G1917" s="7" t="str">
        <f aca="false">HYPERLINK(CONCATENATE("http://crfop.gdos.gov.pl/CRFOP/widok/viewpomnikprzyrody.jsf?fop=","PL.ZIPOP.1393.PP.1061011.79"),"(kliknij lub Ctrl+kliknij)")</f>
        <v>(kliknij lub Ctrl+kliknij)</v>
      </c>
      <c r="H1917" s="0" t="s">
        <v>1075</v>
      </c>
    </row>
    <row r="1918" customFormat="false" ht="12.8" hidden="false" customHeight="false" outlineLevel="0" collapsed="false">
      <c r="A1918" s="1" t="s">
        <v>569</v>
      </c>
      <c r="C1918" s="3" t="s">
        <v>710</v>
      </c>
      <c r="D1918" s="4" t="s">
        <v>571</v>
      </c>
      <c r="F1918" s="6" t="s">
        <v>711</v>
      </c>
      <c r="G1918" s="7" t="str">
        <f aca="false">HYPERLINK(CONCATENATE("http://crfop.gdos.gov.pl/CRFOP/widok/viewpomnikprzyrody.jsf?fop=","PL.ZIPOP.1393.PP.1061011.7"),"(kliknij lub Ctrl+kliknij)")</f>
        <v>(kliknij lub Ctrl+kliknij)</v>
      </c>
      <c r="H1918" s="0" t="s">
        <v>1075</v>
      </c>
    </row>
    <row r="1919" customFormat="false" ht="12.8" hidden="false" customHeight="false" outlineLevel="0" collapsed="false">
      <c r="A1919" s="1" t="s">
        <v>569</v>
      </c>
      <c r="C1919" s="3" t="s">
        <v>710</v>
      </c>
      <c r="D1919" s="4" t="s">
        <v>571</v>
      </c>
      <c r="F1919" s="6" t="s">
        <v>711</v>
      </c>
      <c r="G1919" s="7" t="str">
        <f aca="false">HYPERLINK(CONCATENATE("http://crfop.gdos.gov.pl/CRFOP/widok/viewpomnikprzyrody.jsf?fop=","PL.ZIPOP.1393.PP.1061011.80"),"(kliknij lub Ctrl+kliknij)")</f>
        <v>(kliknij lub Ctrl+kliknij)</v>
      </c>
      <c r="H1919" s="0" t="s">
        <v>1075</v>
      </c>
    </row>
    <row r="1920" customFormat="false" ht="12.8" hidden="false" customHeight="false" outlineLevel="0" collapsed="false">
      <c r="A1920" s="1" t="s">
        <v>569</v>
      </c>
      <c r="C1920" s="3" t="s">
        <v>710</v>
      </c>
      <c r="D1920" s="4" t="s">
        <v>571</v>
      </c>
      <c r="F1920" s="6" t="s">
        <v>711</v>
      </c>
      <c r="G1920" s="7" t="str">
        <f aca="false">HYPERLINK(CONCATENATE("http://crfop.gdos.gov.pl/CRFOP/widok/viewpomnikprzyrody.jsf?fop=","PL.ZIPOP.1393.PP.1061011.81"),"(kliknij lub Ctrl+kliknij)")</f>
        <v>(kliknij lub Ctrl+kliknij)</v>
      </c>
      <c r="H1920" s="0" t="s">
        <v>1075</v>
      </c>
    </row>
    <row r="1921" customFormat="false" ht="12.8" hidden="false" customHeight="false" outlineLevel="0" collapsed="false">
      <c r="A1921" s="1" t="s">
        <v>569</v>
      </c>
      <c r="C1921" s="3" t="s">
        <v>710</v>
      </c>
      <c r="D1921" s="4" t="s">
        <v>571</v>
      </c>
      <c r="F1921" s="6" t="s">
        <v>711</v>
      </c>
      <c r="G1921" s="7" t="str">
        <f aca="false">HYPERLINK(CONCATENATE("http://crfop.gdos.gov.pl/CRFOP/widok/viewpomnikprzyrody.jsf?fop=","PL.ZIPOP.1393.PP.1061011.82"),"(kliknij lub Ctrl+kliknij)")</f>
        <v>(kliknij lub Ctrl+kliknij)</v>
      </c>
      <c r="H1921" s="0" t="s">
        <v>1075</v>
      </c>
    </row>
    <row r="1922" customFormat="false" ht="12.8" hidden="false" customHeight="false" outlineLevel="0" collapsed="false">
      <c r="A1922" s="1" t="s">
        <v>569</v>
      </c>
      <c r="C1922" s="3" t="s">
        <v>710</v>
      </c>
      <c r="D1922" s="4" t="s">
        <v>571</v>
      </c>
      <c r="F1922" s="6" t="s">
        <v>711</v>
      </c>
      <c r="G1922" s="7" t="str">
        <f aca="false">HYPERLINK(CONCATENATE("http://crfop.gdos.gov.pl/CRFOP/widok/viewpomnikprzyrody.jsf?fop=","PL.ZIPOP.1393.PP.1061011.83"),"(kliknij lub Ctrl+kliknij)")</f>
        <v>(kliknij lub Ctrl+kliknij)</v>
      </c>
      <c r="H1922" s="0" t="s">
        <v>1075</v>
      </c>
    </row>
    <row r="1923" customFormat="false" ht="12.8" hidden="false" customHeight="false" outlineLevel="0" collapsed="false">
      <c r="A1923" s="1" t="s">
        <v>569</v>
      </c>
      <c r="C1923" s="3" t="s">
        <v>710</v>
      </c>
      <c r="D1923" s="4" t="s">
        <v>571</v>
      </c>
      <c r="F1923" s="6" t="s">
        <v>711</v>
      </c>
      <c r="G1923" s="7" t="str">
        <f aca="false">HYPERLINK(CONCATENATE("http://crfop.gdos.gov.pl/CRFOP/widok/viewpomnikprzyrody.jsf?fop=","PL.ZIPOP.1393.PP.1061011.84"),"(kliknij lub Ctrl+kliknij)")</f>
        <v>(kliknij lub Ctrl+kliknij)</v>
      </c>
      <c r="H1923" s="0" t="s">
        <v>1075</v>
      </c>
    </row>
    <row r="1924" customFormat="false" ht="114.25" hidden="false" customHeight="false" outlineLevel="0" collapsed="false">
      <c r="A1924" s="1" t="s">
        <v>569</v>
      </c>
      <c r="C1924" s="3" t="s">
        <v>710</v>
      </c>
      <c r="D1924" s="4" t="s">
        <v>571</v>
      </c>
      <c r="F1924" s="10" t="s">
        <v>711</v>
      </c>
      <c r="G1924" s="7" t="str">
        <f aca="false">HYPERLINK(CONCATENATE("http://crfop.gdos.gov.pl/CRFOP/widok/viewpomnikprzyrody.jsf?fop=","PL.ZIPOP.1393.PP.1061011.85"),"(kliknij lub Ctrl+kliknij)")</f>
        <v>(kliknij lub Ctrl+kliknij)</v>
      </c>
      <c r="H1924" s="0" t="s">
        <v>1075</v>
      </c>
    </row>
    <row r="1925" customFormat="false" ht="12.8" hidden="false" customHeight="false" outlineLevel="0" collapsed="false">
      <c r="A1925" s="1" t="s">
        <v>569</v>
      </c>
      <c r="C1925" s="3" t="s">
        <v>710</v>
      </c>
      <c r="D1925" s="4" t="s">
        <v>571</v>
      </c>
      <c r="F1925" s="6" t="s">
        <v>711</v>
      </c>
      <c r="G1925" s="7" t="str">
        <f aca="false">HYPERLINK(CONCATENATE("http://crfop.gdos.gov.pl/CRFOP/widok/viewpomnikprzyrody.jsf?fop=","PL.ZIPOP.1393.PP.1061011.86"),"(kliknij lub Ctrl+kliknij)")</f>
        <v>(kliknij lub Ctrl+kliknij)</v>
      </c>
      <c r="H1925" s="0" t="s">
        <v>1075</v>
      </c>
    </row>
    <row r="1926" customFormat="false" ht="12.8" hidden="false" customHeight="false" outlineLevel="0" collapsed="false">
      <c r="A1926" s="1" t="s">
        <v>569</v>
      </c>
      <c r="C1926" s="3" t="s">
        <v>710</v>
      </c>
      <c r="D1926" s="4" t="s">
        <v>571</v>
      </c>
      <c r="F1926" s="6" t="s">
        <v>711</v>
      </c>
      <c r="G1926" s="7" t="str">
        <f aca="false">HYPERLINK(CONCATENATE("http://crfop.gdos.gov.pl/CRFOP/widok/viewpomnikprzyrody.jsf?fop=","PL.ZIPOP.1393.PP.1061011.87"),"(kliknij lub Ctrl+kliknij)")</f>
        <v>(kliknij lub Ctrl+kliknij)</v>
      </c>
      <c r="H1926" s="0" t="s">
        <v>1075</v>
      </c>
    </row>
    <row r="1927" customFormat="false" ht="114.25" hidden="false" customHeight="false" outlineLevel="0" collapsed="false">
      <c r="A1927" s="1" t="s">
        <v>569</v>
      </c>
      <c r="C1927" s="3" t="s">
        <v>710</v>
      </c>
      <c r="D1927" s="4" t="s">
        <v>571</v>
      </c>
      <c r="F1927" s="10" t="s">
        <v>711</v>
      </c>
      <c r="G1927" s="7" t="str">
        <f aca="false">HYPERLINK(CONCATENATE("http://crfop.gdos.gov.pl/CRFOP/widok/viewpomnikprzyrody.jsf?fop=","PL.ZIPOP.1393.PP.1061011.88"),"(kliknij lub Ctrl+kliknij)")</f>
        <v>(kliknij lub Ctrl+kliknij)</v>
      </c>
      <c r="H1927" s="0" t="s">
        <v>1075</v>
      </c>
    </row>
    <row r="1928" customFormat="false" ht="114.25" hidden="false" customHeight="false" outlineLevel="0" collapsed="false">
      <c r="A1928" s="1" t="s">
        <v>569</v>
      </c>
      <c r="C1928" s="3" t="s">
        <v>710</v>
      </c>
      <c r="D1928" s="4" t="s">
        <v>571</v>
      </c>
      <c r="F1928" s="10" t="s">
        <v>711</v>
      </c>
      <c r="G1928" s="7" t="str">
        <f aca="false">HYPERLINK(CONCATENATE("http://crfop.gdos.gov.pl/CRFOP/widok/viewpomnikprzyrody.jsf?fop=","PL.ZIPOP.1393.PP.1061011.89"),"(kliknij lub Ctrl+kliknij)")</f>
        <v>(kliknij lub Ctrl+kliknij)</v>
      </c>
      <c r="H1928" s="0" t="s">
        <v>1075</v>
      </c>
    </row>
    <row r="1929" customFormat="false" ht="12.8" hidden="false" customHeight="false" outlineLevel="0" collapsed="false">
      <c r="A1929" s="1" t="s">
        <v>569</v>
      </c>
      <c r="C1929" s="3" t="s">
        <v>710</v>
      </c>
      <c r="D1929" s="4" t="s">
        <v>571</v>
      </c>
      <c r="F1929" s="6" t="s">
        <v>711</v>
      </c>
      <c r="G1929" s="7" t="str">
        <f aca="false">HYPERLINK(CONCATENATE("http://crfop.gdos.gov.pl/CRFOP/widok/viewpomnikprzyrody.jsf?fop=","PL.ZIPOP.1393.PP.1061011.8"),"(kliknij lub Ctrl+kliknij)")</f>
        <v>(kliknij lub Ctrl+kliknij)</v>
      </c>
      <c r="H1929" s="0" t="s">
        <v>1075</v>
      </c>
    </row>
    <row r="1930" customFormat="false" ht="12.8" hidden="false" customHeight="false" outlineLevel="0" collapsed="false">
      <c r="A1930" s="1" t="s">
        <v>569</v>
      </c>
      <c r="C1930" s="3" t="s">
        <v>710</v>
      </c>
      <c r="D1930" s="4" t="s">
        <v>571</v>
      </c>
      <c r="F1930" s="6" t="s">
        <v>711</v>
      </c>
      <c r="G1930" s="7" t="str">
        <f aca="false">HYPERLINK(CONCATENATE("http://crfop.gdos.gov.pl/CRFOP/widok/viewpomnikprzyrody.jsf?fop=","PL.ZIPOP.1393.PP.1061011.90"),"(kliknij lub Ctrl+kliknij)")</f>
        <v>(kliknij lub Ctrl+kliknij)</v>
      </c>
      <c r="H1930" s="0" t="s">
        <v>1075</v>
      </c>
    </row>
    <row r="1931" customFormat="false" ht="114.25" hidden="false" customHeight="false" outlineLevel="0" collapsed="false">
      <c r="A1931" s="1" t="s">
        <v>569</v>
      </c>
      <c r="C1931" s="3" t="s">
        <v>710</v>
      </c>
      <c r="D1931" s="4" t="s">
        <v>571</v>
      </c>
      <c r="F1931" s="10" t="s">
        <v>711</v>
      </c>
      <c r="G1931" s="7" t="str">
        <f aca="false">HYPERLINK(CONCATENATE("http://crfop.gdos.gov.pl/CRFOP/widok/viewpomnikprzyrody.jsf?fop=","PL.ZIPOP.1393.PP.1061011.92"),"(kliknij lub Ctrl+kliknij)")</f>
        <v>(kliknij lub Ctrl+kliknij)</v>
      </c>
      <c r="H1931" s="0" t="s">
        <v>1075</v>
      </c>
    </row>
    <row r="1932" customFormat="false" ht="114.25" hidden="false" customHeight="false" outlineLevel="0" collapsed="false">
      <c r="A1932" s="1" t="s">
        <v>569</v>
      </c>
      <c r="C1932" s="3" t="s">
        <v>710</v>
      </c>
      <c r="D1932" s="4" t="s">
        <v>571</v>
      </c>
      <c r="F1932" s="10" t="s">
        <v>711</v>
      </c>
      <c r="G1932" s="7" t="str">
        <f aca="false">HYPERLINK(CONCATENATE("http://crfop.gdos.gov.pl/CRFOP/widok/viewpomnikprzyrody.jsf?fop=","PL.ZIPOP.1393.PP.1061011.94"),"(kliknij lub Ctrl+kliknij)")</f>
        <v>(kliknij lub Ctrl+kliknij)</v>
      </c>
      <c r="H1932" s="0" t="s">
        <v>1075</v>
      </c>
    </row>
    <row r="1933" customFormat="false" ht="114.25" hidden="false" customHeight="false" outlineLevel="0" collapsed="false">
      <c r="A1933" s="1" t="s">
        <v>569</v>
      </c>
      <c r="C1933" s="3" t="s">
        <v>710</v>
      </c>
      <c r="D1933" s="4" t="s">
        <v>571</v>
      </c>
      <c r="F1933" s="10" t="s">
        <v>711</v>
      </c>
      <c r="G1933" s="7" t="str">
        <f aca="false">HYPERLINK(CONCATENATE("http://crfop.gdos.gov.pl/CRFOP/widok/viewpomnikprzyrody.jsf?fop=","PL.ZIPOP.1393.PP.1061011.95"),"(kliknij lub Ctrl+kliknij)")</f>
        <v>(kliknij lub Ctrl+kliknij)</v>
      </c>
      <c r="H1933" s="0" t="s">
        <v>1075</v>
      </c>
    </row>
    <row r="1934" customFormat="false" ht="114.25" hidden="false" customHeight="false" outlineLevel="0" collapsed="false">
      <c r="A1934" s="1" t="s">
        <v>569</v>
      </c>
      <c r="C1934" s="3" t="s">
        <v>710</v>
      </c>
      <c r="D1934" s="4" t="s">
        <v>571</v>
      </c>
      <c r="F1934" s="10" t="s">
        <v>711</v>
      </c>
      <c r="G1934" s="7" t="str">
        <f aca="false">HYPERLINK(CONCATENATE("http://crfop.gdos.gov.pl/CRFOP/widok/viewpomnikprzyrody.jsf?fop=","PL.ZIPOP.1393.PP.1061011.98"),"(kliknij lub Ctrl+kliknij)")</f>
        <v>(kliknij lub Ctrl+kliknij)</v>
      </c>
      <c r="H1934" s="0" t="s">
        <v>1075</v>
      </c>
    </row>
    <row r="1935" customFormat="false" ht="114.25" hidden="false" customHeight="false" outlineLevel="0" collapsed="false">
      <c r="A1935" s="1" t="s">
        <v>569</v>
      </c>
      <c r="C1935" s="3" t="s">
        <v>710</v>
      </c>
      <c r="D1935" s="4" t="s">
        <v>571</v>
      </c>
      <c r="F1935" s="10" t="s">
        <v>711</v>
      </c>
      <c r="G1935" s="7" t="str">
        <f aca="false">HYPERLINK(CONCATENATE("http://crfop.gdos.gov.pl/CRFOP/widok/viewpomnikprzyrody.jsf?fop=","PL.ZIPOP.1393.PP.1061011.99"),"(kliknij lub Ctrl+kliknij)")</f>
        <v>(kliknij lub Ctrl+kliknij)</v>
      </c>
      <c r="H1935" s="0" t="s">
        <v>1075</v>
      </c>
    </row>
    <row r="1936" customFormat="false" ht="114.25" hidden="false" customHeight="false" outlineLevel="0" collapsed="false">
      <c r="A1936" s="1" t="s">
        <v>569</v>
      </c>
      <c r="C1936" s="3" t="s">
        <v>710</v>
      </c>
      <c r="D1936" s="4" t="s">
        <v>571</v>
      </c>
      <c r="F1936" s="10" t="s">
        <v>711</v>
      </c>
      <c r="G1936" s="7" t="str">
        <f aca="false">HYPERLINK(CONCATENATE("http://crfop.gdos.gov.pl/CRFOP/widok/viewpomnikprzyrody.jsf?fop=","PL.ZIPOP.1393.PP.1061011.9"),"(kliknij lub Ctrl+kliknij)")</f>
        <v>(kliknij lub Ctrl+kliknij)</v>
      </c>
      <c r="H1936" s="0" t="s">
        <v>1075</v>
      </c>
    </row>
    <row r="1937" customFormat="false" ht="12.8" hidden="false" customHeight="false" outlineLevel="0" collapsed="false">
      <c r="A1937" s="1" t="s">
        <v>569</v>
      </c>
      <c r="C1937" s="3" t="s">
        <v>756</v>
      </c>
      <c r="D1937" s="4" t="s">
        <v>571</v>
      </c>
      <c r="F1937" s="6" t="s">
        <v>572</v>
      </c>
      <c r="G1937" s="7" t="str">
        <f aca="false">HYPERLINK(CONCATENATE("http://crfop.gdos.gov.pl/CRFOP/widok/viewpomnikprzyrody.jsf?fop=","PL.ZIPOP.1393.PP.1062011.1475"),"(kliknij lub Ctrl+kliknij)")</f>
        <v>(kliknij lub Ctrl+kliknij)</v>
      </c>
      <c r="H1937" s="0" t="s">
        <v>1096</v>
      </c>
    </row>
    <row r="1938" customFormat="false" ht="12.8" hidden="false" customHeight="false" outlineLevel="0" collapsed="false">
      <c r="A1938" s="1" t="s">
        <v>569</v>
      </c>
      <c r="C1938" s="3" t="s">
        <v>587</v>
      </c>
      <c r="D1938" s="4" t="s">
        <v>571</v>
      </c>
      <c r="F1938" s="6" t="s">
        <v>1097</v>
      </c>
      <c r="G1938" s="7" t="str">
        <f aca="false">HYPERLINK(CONCATENATE("http://crfop.gdos.gov.pl/CRFOP/widok/viewpomnikprzyrody.jsf?fop=","PL.ZIPOP.1393.PP.1062011.3138"),"(kliknij lub Ctrl+kliknij)")</f>
        <v>(kliknij lub Ctrl+kliknij)</v>
      </c>
      <c r="H1938" s="0" t="s">
        <v>1096</v>
      </c>
    </row>
    <row r="1939" customFormat="false" ht="80.35" hidden="false" customHeight="false" outlineLevel="0" collapsed="false">
      <c r="A1939" s="1" t="s">
        <v>569</v>
      </c>
      <c r="C1939" s="3" t="s">
        <v>1098</v>
      </c>
      <c r="D1939" s="4" t="s">
        <v>571</v>
      </c>
      <c r="F1939" s="10" t="s">
        <v>1099</v>
      </c>
      <c r="G1939" s="7" t="str">
        <f aca="false">HYPERLINK(CONCATENATE("http://crfop.gdos.gov.pl/CRFOP/widok/viewpomnikprzyrody.jsf?fop=","PL.ZIPOP.1393.PP.1062011.3139"),"(kliknij lub Ctrl+kliknij)")</f>
        <v>(kliknij lub Ctrl+kliknij)</v>
      </c>
      <c r="H1939" s="0" t="s">
        <v>1096</v>
      </c>
    </row>
    <row r="1940" customFormat="false" ht="80.35" hidden="false" customHeight="false" outlineLevel="0" collapsed="false">
      <c r="A1940" s="1" t="s">
        <v>569</v>
      </c>
      <c r="C1940" s="3" t="s">
        <v>1098</v>
      </c>
      <c r="D1940" s="4" t="s">
        <v>571</v>
      </c>
      <c r="F1940" s="10" t="s">
        <v>1099</v>
      </c>
      <c r="G1940" s="7" t="str">
        <f aca="false">HYPERLINK(CONCATENATE("http://crfop.gdos.gov.pl/CRFOP/widok/viewpomnikprzyrody.jsf?fop=","PL.ZIPOP.1393.PP.1062011.3140"),"(kliknij lub Ctrl+kliknij)")</f>
        <v>(kliknij lub Ctrl+kliknij)</v>
      </c>
      <c r="H1940" s="0" t="s">
        <v>1096</v>
      </c>
    </row>
    <row r="1941" customFormat="false" ht="12.8" hidden="false" customHeight="false" outlineLevel="0" collapsed="false">
      <c r="A1941" s="1" t="s">
        <v>569</v>
      </c>
      <c r="C1941" s="3" t="s">
        <v>1098</v>
      </c>
      <c r="D1941" s="4" t="s">
        <v>571</v>
      </c>
      <c r="F1941" s="6" t="s">
        <v>1099</v>
      </c>
      <c r="G1941" s="7" t="str">
        <f aca="false">HYPERLINK(CONCATENATE("http://crfop.gdos.gov.pl/CRFOP/widok/viewpomnikprzyrody.jsf?fop=","PL.ZIPOP.1393.PP.1062011.3141"),"(kliknij lub Ctrl+kliknij)")</f>
        <v>(kliknij lub Ctrl+kliknij)</v>
      </c>
      <c r="H1941" s="0" t="s">
        <v>1096</v>
      </c>
    </row>
    <row r="1942" customFormat="false" ht="12.8" hidden="false" customHeight="false" outlineLevel="0" collapsed="false">
      <c r="A1942" s="1" t="s">
        <v>569</v>
      </c>
      <c r="C1942" s="3" t="s">
        <v>1098</v>
      </c>
      <c r="D1942" s="4" t="s">
        <v>571</v>
      </c>
      <c r="F1942" s="6" t="s">
        <v>1099</v>
      </c>
      <c r="G1942" s="7" t="str">
        <f aca="false">HYPERLINK(CONCATENATE("http://crfop.gdos.gov.pl/CRFOP/widok/viewpomnikprzyrody.jsf?fop=","PL.ZIPOP.1393.PP.1062011.3142"),"(kliknij lub Ctrl+kliknij)")</f>
        <v>(kliknij lub Ctrl+kliknij)</v>
      </c>
      <c r="H1942" s="0" t="s">
        <v>1096</v>
      </c>
    </row>
    <row r="1943" customFormat="false" ht="69" hidden="false" customHeight="false" outlineLevel="0" collapsed="false">
      <c r="A1943" s="1" t="s">
        <v>569</v>
      </c>
      <c r="C1943" s="3" t="s">
        <v>887</v>
      </c>
      <c r="D1943" s="4" t="s">
        <v>571</v>
      </c>
      <c r="F1943" s="10" t="s">
        <v>888</v>
      </c>
      <c r="G1943" s="7" t="str">
        <f aca="false">HYPERLINK(CONCATENATE("http://crfop.gdos.gov.pl/CRFOP/widok/viewpomnikprzyrody.jsf?fop=","PL.ZIPOP.1393.PP.1063011.1000"),"(kliknij lub Ctrl+kliknij)")</f>
        <v>(kliknij lub Ctrl+kliknij)</v>
      </c>
      <c r="H1943" s="0" t="s">
        <v>895</v>
      </c>
    </row>
    <row r="1944" customFormat="false" ht="69" hidden="false" customHeight="false" outlineLevel="0" collapsed="false">
      <c r="A1944" s="1" t="s">
        <v>569</v>
      </c>
      <c r="C1944" s="3" t="s">
        <v>887</v>
      </c>
      <c r="D1944" s="4" t="s">
        <v>571</v>
      </c>
      <c r="F1944" s="10" t="s">
        <v>888</v>
      </c>
      <c r="G1944" s="7" t="str">
        <f aca="false">HYPERLINK(CONCATENATE("http://crfop.gdos.gov.pl/CRFOP/widok/viewpomnikprzyrody.jsf?fop=","PL.ZIPOP.1393.PP.1063011.1001"),"(kliknij lub Ctrl+kliknij)")</f>
        <v>(kliknij lub Ctrl+kliknij)</v>
      </c>
      <c r="H1944" s="0" t="s">
        <v>895</v>
      </c>
    </row>
    <row r="1945" customFormat="false" ht="69" hidden="false" customHeight="false" outlineLevel="0" collapsed="false">
      <c r="A1945" s="1" t="s">
        <v>569</v>
      </c>
      <c r="C1945" s="3" t="s">
        <v>887</v>
      </c>
      <c r="D1945" s="4" t="s">
        <v>571</v>
      </c>
      <c r="F1945" s="10" t="s">
        <v>888</v>
      </c>
      <c r="G1945" s="7" t="str">
        <f aca="false">HYPERLINK(CONCATENATE("http://crfop.gdos.gov.pl/CRFOP/widok/viewpomnikprzyrody.jsf?fop=","PL.ZIPOP.1393.PP.1063011.1002"),"(kliknij lub Ctrl+kliknij)")</f>
        <v>(kliknij lub Ctrl+kliknij)</v>
      </c>
      <c r="H1945" s="0" t="s">
        <v>895</v>
      </c>
    </row>
    <row r="1946" customFormat="false" ht="69" hidden="false" customHeight="false" outlineLevel="0" collapsed="false">
      <c r="A1946" s="1" t="s">
        <v>569</v>
      </c>
      <c r="C1946" s="3" t="s">
        <v>887</v>
      </c>
      <c r="D1946" s="4" t="s">
        <v>571</v>
      </c>
      <c r="F1946" s="10" t="s">
        <v>888</v>
      </c>
      <c r="G1946" s="7" t="str">
        <f aca="false">HYPERLINK(CONCATENATE("http://crfop.gdos.gov.pl/CRFOP/widok/viewpomnikprzyrody.jsf?fop=","PL.ZIPOP.1393.PP.1063011.1003"),"(kliknij lub Ctrl+kliknij)")</f>
        <v>(kliknij lub Ctrl+kliknij)</v>
      </c>
      <c r="H1946" s="0" t="s">
        <v>895</v>
      </c>
    </row>
    <row r="1947" customFormat="false" ht="69" hidden="false" customHeight="false" outlineLevel="0" collapsed="false">
      <c r="A1947" s="1" t="s">
        <v>569</v>
      </c>
      <c r="C1947" s="3" t="s">
        <v>887</v>
      </c>
      <c r="D1947" s="4" t="s">
        <v>571</v>
      </c>
      <c r="F1947" s="10" t="s">
        <v>888</v>
      </c>
      <c r="G1947" s="7" t="str">
        <f aca="false">HYPERLINK(CONCATENATE("http://crfop.gdos.gov.pl/CRFOP/widok/viewpomnikprzyrody.jsf?fop=","PL.ZIPOP.1393.PP.1063011.1004"),"(kliknij lub Ctrl+kliknij)")</f>
        <v>(kliknij lub Ctrl+kliknij)</v>
      </c>
      <c r="H1947" s="0" t="s">
        <v>895</v>
      </c>
    </row>
    <row r="1948" customFormat="false" ht="12.8" hidden="false" customHeight="false" outlineLevel="0" collapsed="false">
      <c r="A1948" s="1" t="s">
        <v>569</v>
      </c>
      <c r="C1948" s="3" t="s">
        <v>887</v>
      </c>
      <c r="D1948" s="4" t="s">
        <v>571</v>
      </c>
      <c r="F1948" s="6" t="s">
        <v>888</v>
      </c>
      <c r="G1948" s="7" t="str">
        <f aca="false">HYPERLINK(CONCATENATE("http://crfop.gdos.gov.pl/CRFOP/widok/viewpomnikprzyrody.jsf?fop=","PL.ZIPOP.1393.PP.1063011.1007"),"(kliknij lub Ctrl+kliknij)")</f>
        <v>(kliknij lub Ctrl+kliknij)</v>
      </c>
      <c r="H1948" s="0" t="s">
        <v>895</v>
      </c>
    </row>
    <row r="1949" customFormat="false" ht="69" hidden="false" customHeight="false" outlineLevel="0" collapsed="false">
      <c r="A1949" s="1" t="s">
        <v>569</v>
      </c>
      <c r="C1949" s="3" t="s">
        <v>887</v>
      </c>
      <c r="D1949" s="4" t="s">
        <v>571</v>
      </c>
      <c r="F1949" s="10" t="s">
        <v>888</v>
      </c>
      <c r="G1949" s="7" t="str">
        <f aca="false">HYPERLINK(CONCATENATE("http://crfop.gdos.gov.pl/CRFOP/widok/viewpomnikprzyrody.jsf?fop=","PL.ZIPOP.1393.PP.1063011.1008"),"(kliknij lub Ctrl+kliknij)")</f>
        <v>(kliknij lub Ctrl+kliknij)</v>
      </c>
      <c r="H1949" s="0" t="s">
        <v>895</v>
      </c>
    </row>
    <row r="1950" customFormat="false" ht="12.8" hidden="false" customHeight="false" outlineLevel="0" collapsed="false">
      <c r="A1950" s="1" t="s">
        <v>569</v>
      </c>
      <c r="C1950" s="3" t="s">
        <v>887</v>
      </c>
      <c r="D1950" s="4" t="s">
        <v>571</v>
      </c>
      <c r="F1950" s="6" t="s">
        <v>888</v>
      </c>
      <c r="G1950" s="7" t="str">
        <f aca="false">HYPERLINK(CONCATENATE("http://crfop.gdos.gov.pl/CRFOP/widok/viewpomnikprzyrody.jsf?fop=","PL.ZIPOP.1393.PP.1063011.1009"),"(kliknij lub Ctrl+kliknij)")</f>
        <v>(kliknij lub Ctrl+kliknij)</v>
      </c>
      <c r="H1950" s="0" t="s">
        <v>895</v>
      </c>
    </row>
    <row r="1951" customFormat="false" ht="12.8" hidden="false" customHeight="false" outlineLevel="0" collapsed="false">
      <c r="A1951" s="1" t="s">
        <v>569</v>
      </c>
      <c r="C1951" s="3" t="s">
        <v>702</v>
      </c>
      <c r="D1951" s="4" t="s">
        <v>571</v>
      </c>
      <c r="F1951" s="6" t="s">
        <v>703</v>
      </c>
      <c r="G1951" s="7" t="str">
        <f aca="false">HYPERLINK(CONCATENATE("http://crfop.gdos.gov.pl/CRFOP/widok/viewpomnikprzyrody.jsf?fop=","PL.ZIPOP.1393.PP.1063011.1010"),"(kliknij lub Ctrl+kliknij)")</f>
        <v>(kliknij lub Ctrl+kliknij)</v>
      </c>
      <c r="H1951" s="0" t="s">
        <v>895</v>
      </c>
    </row>
    <row r="1952" customFormat="false" ht="12.8" hidden="false" customHeight="false" outlineLevel="0" collapsed="false">
      <c r="A1952" s="1" t="s">
        <v>569</v>
      </c>
      <c r="C1952" s="3" t="s">
        <v>1100</v>
      </c>
      <c r="D1952" s="4" t="s">
        <v>571</v>
      </c>
      <c r="F1952" s="6" t="s">
        <v>1101</v>
      </c>
      <c r="G1952" s="7" t="str">
        <f aca="false">HYPERLINK(CONCATENATE("http://crfop.gdos.gov.pl/CRFOP/widok/viewpomnikprzyrody.jsf?fop=","PL.ZIPOP.1393.PP.1063011.1013"),"(kliknij lub Ctrl+kliknij)")</f>
        <v>(kliknij lub Ctrl+kliknij)</v>
      </c>
      <c r="H1952" s="0" t="s">
        <v>895</v>
      </c>
    </row>
    <row r="1953" customFormat="false" ht="69" hidden="false" customHeight="false" outlineLevel="0" collapsed="false">
      <c r="A1953" s="1" t="s">
        <v>569</v>
      </c>
      <c r="C1953" s="3" t="s">
        <v>705</v>
      </c>
      <c r="D1953" s="4" t="s">
        <v>571</v>
      </c>
      <c r="F1953" s="10" t="s">
        <v>706</v>
      </c>
      <c r="G1953" s="7" t="str">
        <f aca="false">HYPERLINK(CONCATENATE("http://crfop.gdos.gov.pl/CRFOP/widok/viewpomnikprzyrody.jsf?fop=","PL.ZIPOP.1393.PP.1063011.3054"),"(kliknij lub Ctrl+kliknij)")</f>
        <v>(kliknij lub Ctrl+kliknij)</v>
      </c>
      <c r="H1953" s="0" t="s">
        <v>895</v>
      </c>
    </row>
    <row r="1954" customFormat="false" ht="12.8" hidden="false" customHeight="false" outlineLevel="0" collapsed="false">
      <c r="A1954" s="1" t="s">
        <v>569</v>
      </c>
      <c r="C1954" s="3" t="s">
        <v>705</v>
      </c>
      <c r="D1954" s="4" t="s">
        <v>571</v>
      </c>
      <c r="F1954" s="6" t="s">
        <v>706</v>
      </c>
      <c r="G1954" s="7" t="str">
        <f aca="false">HYPERLINK(CONCATENATE("http://crfop.gdos.gov.pl/CRFOP/widok/viewpomnikprzyrody.jsf?fop=","PL.ZIPOP.1393.PP.1063011.3055"),"(kliknij lub Ctrl+kliknij)")</f>
        <v>(kliknij lub Ctrl+kliknij)</v>
      </c>
      <c r="H1954" s="0" t="s">
        <v>895</v>
      </c>
    </row>
    <row r="1955" customFormat="false" ht="12.8" hidden="false" customHeight="false" outlineLevel="0" collapsed="false">
      <c r="A1955" s="1" t="s">
        <v>569</v>
      </c>
      <c r="C1955" s="3" t="s">
        <v>705</v>
      </c>
      <c r="D1955" s="4" t="s">
        <v>571</v>
      </c>
      <c r="F1955" s="6" t="s">
        <v>706</v>
      </c>
      <c r="G1955" s="7" t="str">
        <f aca="false">HYPERLINK(CONCATENATE("http://crfop.gdos.gov.pl/CRFOP/widok/viewpomnikprzyrody.jsf?fop=","PL.ZIPOP.1393.PP.1063011.3056"),"(kliknij lub Ctrl+kliknij)")</f>
        <v>(kliknij lub Ctrl+kliknij)</v>
      </c>
      <c r="H1955" s="0" t="s">
        <v>895</v>
      </c>
    </row>
    <row r="1956" customFormat="false" ht="12.8" hidden="false" customHeight="false" outlineLevel="0" collapsed="false">
      <c r="A1956" s="1" t="s">
        <v>569</v>
      </c>
      <c r="C1956" s="3" t="s">
        <v>705</v>
      </c>
      <c r="D1956" s="4" t="s">
        <v>571</v>
      </c>
      <c r="F1956" s="6" t="s">
        <v>706</v>
      </c>
      <c r="G1956" s="7" t="str">
        <f aca="false">HYPERLINK(CONCATENATE("http://crfop.gdos.gov.pl/CRFOP/widok/viewpomnikprzyrody.jsf?fop=","PL.ZIPOP.1393.PP.1063011.3057"),"(kliknij lub Ctrl+kliknij)")</f>
        <v>(kliknij lub Ctrl+kliknij)</v>
      </c>
      <c r="H1956" s="0" t="s">
        <v>895</v>
      </c>
    </row>
    <row r="1957" customFormat="false" ht="12.8" hidden="false" customHeight="false" outlineLevel="0" collapsed="false">
      <c r="A1957" s="1" t="s">
        <v>569</v>
      </c>
      <c r="C1957" s="3" t="s">
        <v>705</v>
      </c>
      <c r="D1957" s="4" t="s">
        <v>571</v>
      </c>
      <c r="F1957" s="6" t="s">
        <v>706</v>
      </c>
      <c r="G1957" s="7" t="str">
        <f aca="false">HYPERLINK(CONCATENATE("http://crfop.gdos.gov.pl/CRFOP/widok/viewpomnikprzyrody.jsf?fop=","PL.ZIPOP.1393.PP.1063011.3058"),"(kliknij lub Ctrl+kliknij)")</f>
        <v>(kliknij lub Ctrl+kliknij)</v>
      </c>
      <c r="H1957" s="0" t="s">
        <v>895</v>
      </c>
    </row>
    <row r="1958" customFormat="false" ht="12.8" hidden="false" customHeight="false" outlineLevel="0" collapsed="false">
      <c r="A1958" s="1" t="s">
        <v>569</v>
      </c>
      <c r="C1958" s="3" t="s">
        <v>702</v>
      </c>
      <c r="D1958" s="4" t="s">
        <v>571</v>
      </c>
      <c r="F1958" s="6" t="s">
        <v>703</v>
      </c>
      <c r="G1958" s="7" t="str">
        <f aca="false">HYPERLINK(CONCATENATE("http://crfop.gdos.gov.pl/CRFOP/widok/viewpomnikprzyrody.jsf?fop=","PL.ZIPOP.1393.PP.1063011.3061"),"(kliknij lub Ctrl+kliknij)")</f>
        <v>(kliknij lub Ctrl+kliknij)</v>
      </c>
      <c r="H1958" s="0" t="s">
        <v>895</v>
      </c>
    </row>
    <row r="1959" customFormat="false" ht="12.8" hidden="false" customHeight="false" outlineLevel="0" collapsed="false">
      <c r="A1959" s="1" t="s">
        <v>569</v>
      </c>
      <c r="C1959" s="3" t="s">
        <v>702</v>
      </c>
      <c r="D1959" s="4" t="s">
        <v>571</v>
      </c>
      <c r="F1959" s="6" t="s">
        <v>703</v>
      </c>
      <c r="G1959" s="7" t="str">
        <f aca="false">HYPERLINK(CONCATENATE("http://crfop.gdos.gov.pl/CRFOP/widok/viewpomnikprzyrody.jsf?fop=","PL.ZIPOP.1393.PP.1063011.3062"),"(kliknij lub Ctrl+kliknij)")</f>
        <v>(kliknij lub Ctrl+kliknij)</v>
      </c>
      <c r="H1959" s="0" t="s">
        <v>895</v>
      </c>
    </row>
    <row r="1960" customFormat="false" ht="12.8" hidden="false" customHeight="false" outlineLevel="0" collapsed="false">
      <c r="A1960" s="1" t="s">
        <v>569</v>
      </c>
      <c r="C1960" s="3" t="s">
        <v>705</v>
      </c>
      <c r="D1960" s="4" t="s">
        <v>571</v>
      </c>
      <c r="F1960" s="6" t="s">
        <v>706</v>
      </c>
      <c r="G1960" s="7" t="str">
        <f aca="false">HYPERLINK(CONCATENATE("http://crfop.gdos.gov.pl/CRFOP/widok/viewpomnikprzyrody.jsf?fop=","PL.ZIPOP.1393.PP.1063011.3063"),"(kliknij lub Ctrl+kliknij)")</f>
        <v>(kliknij lub Ctrl+kliknij)</v>
      </c>
      <c r="H1960" s="0" t="s">
        <v>895</v>
      </c>
    </row>
    <row r="1961" customFormat="false" ht="69" hidden="false" customHeight="false" outlineLevel="0" collapsed="false">
      <c r="A1961" s="1" t="s">
        <v>569</v>
      </c>
      <c r="C1961" s="3" t="s">
        <v>705</v>
      </c>
      <c r="D1961" s="4" t="s">
        <v>571</v>
      </c>
      <c r="F1961" s="10" t="s">
        <v>706</v>
      </c>
      <c r="G1961" s="7" t="str">
        <f aca="false">HYPERLINK(CONCATENATE("http://crfop.gdos.gov.pl/CRFOP/widok/viewpomnikprzyrody.jsf?fop=","PL.ZIPOP.1393.PP.1063011.3064"),"(kliknij lub Ctrl+kliknij)")</f>
        <v>(kliknij lub Ctrl+kliknij)</v>
      </c>
      <c r="H1961" s="0" t="s">
        <v>895</v>
      </c>
    </row>
    <row r="1962" customFormat="false" ht="69" hidden="false" customHeight="false" outlineLevel="0" collapsed="false">
      <c r="A1962" s="1" t="s">
        <v>569</v>
      </c>
      <c r="C1962" s="3" t="s">
        <v>705</v>
      </c>
      <c r="D1962" s="4" t="s">
        <v>571</v>
      </c>
      <c r="F1962" s="10" t="s">
        <v>706</v>
      </c>
      <c r="G1962" s="7" t="str">
        <f aca="false">HYPERLINK(CONCATENATE("http://crfop.gdos.gov.pl/CRFOP/widok/viewpomnikprzyrody.jsf?fop=","PL.ZIPOP.1393.PP.1063011.3065"),"(kliknij lub Ctrl+kliknij)")</f>
        <v>(kliknij lub Ctrl+kliknij)</v>
      </c>
      <c r="H1962" s="0" t="s">
        <v>895</v>
      </c>
    </row>
    <row r="1963" customFormat="false" ht="12.8" hidden="false" customHeight="false" outlineLevel="0" collapsed="false">
      <c r="A1963" s="1" t="s">
        <v>569</v>
      </c>
      <c r="C1963" s="3" t="s">
        <v>705</v>
      </c>
      <c r="D1963" s="4" t="s">
        <v>571</v>
      </c>
      <c r="F1963" s="6" t="s">
        <v>706</v>
      </c>
      <c r="G1963" s="7" t="str">
        <f aca="false">HYPERLINK(CONCATENATE("http://crfop.gdos.gov.pl/CRFOP/widok/viewpomnikprzyrody.jsf?fop=","PL.ZIPOP.1393.PP.1063011.3066"),"(kliknij lub Ctrl+kliknij)")</f>
        <v>(kliknij lub Ctrl+kliknij)</v>
      </c>
      <c r="H1963" s="0" t="s">
        <v>895</v>
      </c>
    </row>
    <row r="1964" customFormat="false" ht="12.8" hidden="false" customHeight="false" outlineLevel="0" collapsed="false">
      <c r="A1964" s="1" t="s">
        <v>569</v>
      </c>
      <c r="C1964" s="3" t="s">
        <v>705</v>
      </c>
      <c r="D1964" s="4" t="s">
        <v>571</v>
      </c>
      <c r="F1964" s="6" t="s">
        <v>706</v>
      </c>
      <c r="G1964" s="7" t="str">
        <f aca="false">HYPERLINK(CONCATENATE("http://crfop.gdos.gov.pl/CRFOP/widok/viewpomnikprzyrody.jsf?fop=","PL.ZIPOP.1393.PP.1063011.3067"),"(kliknij lub Ctrl+kliknij)")</f>
        <v>(kliknij lub Ctrl+kliknij)</v>
      </c>
      <c r="H1964" s="0" t="s">
        <v>895</v>
      </c>
    </row>
    <row r="1965" customFormat="false" ht="69" hidden="false" customHeight="false" outlineLevel="0" collapsed="false">
      <c r="A1965" s="1" t="s">
        <v>569</v>
      </c>
      <c r="C1965" s="3" t="s">
        <v>705</v>
      </c>
      <c r="D1965" s="4" t="s">
        <v>571</v>
      </c>
      <c r="F1965" s="10" t="s">
        <v>706</v>
      </c>
      <c r="G1965" s="7" t="str">
        <f aca="false">HYPERLINK(CONCATENATE("http://crfop.gdos.gov.pl/CRFOP/widok/viewpomnikprzyrody.jsf?fop=","PL.ZIPOP.1393.PP.1063011.3068"),"(kliknij lub Ctrl+kliknij)")</f>
        <v>(kliknij lub Ctrl+kliknij)</v>
      </c>
      <c r="H1965" s="0" t="s">
        <v>895</v>
      </c>
    </row>
    <row r="1966" customFormat="false" ht="12.8" hidden="false" customHeight="false" outlineLevel="0" collapsed="false">
      <c r="A1966" s="1" t="s">
        <v>569</v>
      </c>
      <c r="C1966" s="3" t="s">
        <v>705</v>
      </c>
      <c r="D1966" s="4" t="s">
        <v>571</v>
      </c>
      <c r="F1966" s="6" t="s">
        <v>706</v>
      </c>
      <c r="G1966" s="7" t="str">
        <f aca="false">HYPERLINK(CONCATENATE("http://crfop.gdos.gov.pl/CRFOP/widok/viewpomnikprzyrody.jsf?fop=","PL.ZIPOP.1393.PP.1063011.3069"),"(kliknij lub Ctrl+kliknij)")</f>
        <v>(kliknij lub Ctrl+kliknij)</v>
      </c>
      <c r="H1966" s="0" t="s">
        <v>895</v>
      </c>
    </row>
    <row r="1967" customFormat="false" ht="12.8" hidden="false" customHeight="false" outlineLevel="0" collapsed="false">
      <c r="A1967" s="1" t="s">
        <v>569</v>
      </c>
      <c r="C1967" s="3" t="s">
        <v>705</v>
      </c>
      <c r="D1967" s="4" t="s">
        <v>571</v>
      </c>
      <c r="F1967" s="6" t="s">
        <v>706</v>
      </c>
      <c r="G1967" s="7" t="str">
        <f aca="false">HYPERLINK(CONCATENATE("http://crfop.gdos.gov.pl/CRFOP/widok/viewpomnikprzyrody.jsf?fop=","PL.ZIPOP.1393.PP.1063011.3070"),"(kliknij lub Ctrl+kliknij)")</f>
        <v>(kliknij lub Ctrl+kliknij)</v>
      </c>
      <c r="H1967" s="0" t="s">
        <v>895</v>
      </c>
    </row>
    <row r="1968" customFormat="false" ht="12.8" hidden="false" customHeight="false" outlineLevel="0" collapsed="false">
      <c r="A1968" s="1" t="s">
        <v>569</v>
      </c>
      <c r="C1968" s="3" t="s">
        <v>705</v>
      </c>
      <c r="D1968" s="4" t="s">
        <v>571</v>
      </c>
      <c r="F1968" s="6" t="s">
        <v>706</v>
      </c>
      <c r="G1968" s="7" t="str">
        <f aca="false">HYPERLINK(CONCATENATE("http://crfop.gdos.gov.pl/CRFOP/widok/viewpomnikprzyrody.jsf?fop=","PL.ZIPOP.1393.PP.1063011.3071"),"(kliknij lub Ctrl+kliknij)")</f>
        <v>(kliknij lub Ctrl+kliknij)</v>
      </c>
      <c r="H1968" s="0" t="s">
        <v>895</v>
      </c>
    </row>
    <row r="1969" customFormat="false" ht="12.8" hidden="false" customHeight="false" outlineLevel="0" collapsed="false">
      <c r="A1969" s="1" t="s">
        <v>569</v>
      </c>
      <c r="C1969" s="3" t="s">
        <v>705</v>
      </c>
      <c r="D1969" s="4" t="s">
        <v>571</v>
      </c>
      <c r="F1969" s="6" t="s">
        <v>706</v>
      </c>
      <c r="G1969" s="7" t="str">
        <f aca="false">HYPERLINK(CONCATENATE("http://crfop.gdos.gov.pl/CRFOP/widok/viewpomnikprzyrody.jsf?fop=","PL.ZIPOP.1393.PP.1063011.3072"),"(kliknij lub Ctrl+kliknij)")</f>
        <v>(kliknij lub Ctrl+kliknij)</v>
      </c>
      <c r="H1969" s="0" t="s">
        <v>895</v>
      </c>
    </row>
    <row r="1970" customFormat="false" ht="12.8" hidden="false" customHeight="false" outlineLevel="0" collapsed="false">
      <c r="A1970" s="1" t="s">
        <v>569</v>
      </c>
      <c r="C1970" s="3" t="s">
        <v>705</v>
      </c>
      <c r="D1970" s="4" t="s">
        <v>571</v>
      </c>
      <c r="F1970" s="6" t="s">
        <v>706</v>
      </c>
      <c r="G1970" s="7" t="str">
        <f aca="false">HYPERLINK(CONCATENATE("http://crfop.gdos.gov.pl/CRFOP/widok/viewpomnikprzyrody.jsf?fop=","PL.ZIPOP.1393.PP.1063011.3073"),"(kliknij lub Ctrl+kliknij)")</f>
        <v>(kliknij lub Ctrl+kliknij)</v>
      </c>
      <c r="H1970" s="0" t="s">
        <v>895</v>
      </c>
    </row>
    <row r="1971" customFormat="false" ht="12.8" hidden="false" customHeight="false" outlineLevel="0" collapsed="false">
      <c r="A1971" s="1" t="s">
        <v>569</v>
      </c>
      <c r="C1971" s="3" t="s">
        <v>705</v>
      </c>
      <c r="D1971" s="4" t="s">
        <v>571</v>
      </c>
      <c r="F1971" s="6" t="s">
        <v>706</v>
      </c>
      <c r="G1971" s="7" t="str">
        <f aca="false">HYPERLINK(CONCATENATE("http://crfop.gdos.gov.pl/CRFOP/widok/viewpomnikprzyrody.jsf?fop=","PL.ZIPOP.1393.PP.1063011.3074"),"(kliknij lub Ctrl+kliknij)")</f>
        <v>(kliknij lub Ctrl+kliknij)</v>
      </c>
      <c r="H1971" s="0" t="s">
        <v>895</v>
      </c>
    </row>
    <row r="1972" customFormat="false" ht="12.8" hidden="false" customHeight="false" outlineLevel="0" collapsed="false">
      <c r="A1972" s="1" t="s">
        <v>569</v>
      </c>
      <c r="C1972" s="3" t="s">
        <v>705</v>
      </c>
      <c r="D1972" s="4" t="s">
        <v>571</v>
      </c>
      <c r="F1972" s="6" t="s">
        <v>706</v>
      </c>
      <c r="G1972" s="7" t="str">
        <f aca="false">HYPERLINK(CONCATENATE("http://crfop.gdos.gov.pl/CRFOP/widok/viewpomnikprzyrody.jsf?fop=","PL.ZIPOP.1393.PP.1063011.3075"),"(kliknij lub Ctrl+kliknij)")</f>
        <v>(kliknij lub Ctrl+kliknij)</v>
      </c>
      <c r="H1972" s="0" t="s">
        <v>895</v>
      </c>
    </row>
    <row r="1973" customFormat="false" ht="12.8" hidden="false" customHeight="false" outlineLevel="0" collapsed="false">
      <c r="A1973" s="1" t="s">
        <v>569</v>
      </c>
      <c r="C1973" s="3" t="s">
        <v>705</v>
      </c>
      <c r="D1973" s="4" t="s">
        <v>571</v>
      </c>
      <c r="F1973" s="6" t="s">
        <v>706</v>
      </c>
      <c r="G1973" s="7" t="str">
        <f aca="false">HYPERLINK(CONCATENATE("http://crfop.gdos.gov.pl/CRFOP/widok/viewpomnikprzyrody.jsf?fop=","PL.ZIPOP.1393.PP.1063011.3076"),"(kliknij lub Ctrl+kliknij)")</f>
        <v>(kliknij lub Ctrl+kliknij)</v>
      </c>
      <c r="H1973" s="0" t="s">
        <v>895</v>
      </c>
    </row>
    <row r="1974" customFormat="false" ht="69" hidden="false" customHeight="false" outlineLevel="0" collapsed="false">
      <c r="A1974" s="1" t="s">
        <v>569</v>
      </c>
      <c r="C1974" s="3" t="s">
        <v>705</v>
      </c>
      <c r="D1974" s="4" t="s">
        <v>571</v>
      </c>
      <c r="F1974" s="10" t="s">
        <v>706</v>
      </c>
      <c r="G1974" s="7" t="str">
        <f aca="false">HYPERLINK(CONCATENATE("http://crfop.gdos.gov.pl/CRFOP/widok/viewpomnikprzyrody.jsf?fop=","PL.ZIPOP.1393.PP.1063011.3077"),"(kliknij lub Ctrl+kliknij)")</f>
        <v>(kliknij lub Ctrl+kliknij)</v>
      </c>
      <c r="H1974" s="0" t="s">
        <v>895</v>
      </c>
    </row>
    <row r="1975" customFormat="false" ht="69" hidden="false" customHeight="false" outlineLevel="0" collapsed="false">
      <c r="A1975" s="1" t="s">
        <v>569</v>
      </c>
      <c r="C1975" s="3" t="s">
        <v>705</v>
      </c>
      <c r="D1975" s="4" t="s">
        <v>571</v>
      </c>
      <c r="F1975" s="10" t="s">
        <v>706</v>
      </c>
      <c r="G1975" s="7" t="str">
        <f aca="false">HYPERLINK(CONCATENATE("http://crfop.gdos.gov.pl/CRFOP/widok/viewpomnikprzyrody.jsf?fop=","PL.ZIPOP.1393.PP.1063011.3078"),"(kliknij lub Ctrl+kliknij)")</f>
        <v>(kliknij lub Ctrl+kliknij)</v>
      </c>
      <c r="H1975" s="0" t="s">
        <v>895</v>
      </c>
    </row>
    <row r="1976" customFormat="false" ht="69" hidden="false" customHeight="false" outlineLevel="0" collapsed="false">
      <c r="A1976" s="1" t="s">
        <v>569</v>
      </c>
      <c r="C1976" s="3" t="s">
        <v>705</v>
      </c>
      <c r="D1976" s="4" t="s">
        <v>571</v>
      </c>
      <c r="F1976" s="10" t="s">
        <v>706</v>
      </c>
      <c r="G1976" s="7" t="str">
        <f aca="false">HYPERLINK(CONCATENATE("http://crfop.gdos.gov.pl/CRFOP/widok/viewpomnikprzyrody.jsf?fop=","PL.ZIPOP.1393.PP.1063011.3079"),"(kliknij lub Ctrl+kliknij)")</f>
        <v>(kliknij lub Ctrl+kliknij)</v>
      </c>
      <c r="H1976" s="0" t="s">
        <v>895</v>
      </c>
    </row>
    <row r="1977" customFormat="false" ht="12.8" hidden="false" customHeight="false" outlineLevel="0" collapsed="false">
      <c r="A1977" s="1" t="s">
        <v>569</v>
      </c>
      <c r="C1977" s="3" t="s">
        <v>705</v>
      </c>
      <c r="D1977" s="4" t="s">
        <v>571</v>
      </c>
      <c r="F1977" s="6" t="s">
        <v>706</v>
      </c>
      <c r="G1977" s="7" t="str">
        <f aca="false">HYPERLINK(CONCATENATE("http://crfop.gdos.gov.pl/CRFOP/widok/viewpomnikprzyrody.jsf?fop=","PL.ZIPOP.1393.PP.1063011.3080"),"(kliknij lub Ctrl+kliknij)")</f>
        <v>(kliknij lub Ctrl+kliknij)</v>
      </c>
      <c r="H1977" s="0" t="s">
        <v>895</v>
      </c>
    </row>
    <row r="1978" customFormat="false" ht="12.8" hidden="false" customHeight="false" outlineLevel="0" collapsed="false">
      <c r="A1978" s="1" t="s">
        <v>569</v>
      </c>
      <c r="C1978" s="3" t="s">
        <v>705</v>
      </c>
      <c r="D1978" s="4" t="s">
        <v>571</v>
      </c>
      <c r="F1978" s="6" t="s">
        <v>706</v>
      </c>
      <c r="G1978" s="7" t="str">
        <f aca="false">HYPERLINK(CONCATENATE("http://crfop.gdos.gov.pl/CRFOP/widok/viewpomnikprzyrody.jsf?fop=","PL.ZIPOP.1393.PP.1063011.3081"),"(kliknij lub Ctrl+kliknij)")</f>
        <v>(kliknij lub Ctrl+kliknij)</v>
      </c>
      <c r="H1978" s="0" t="s">
        <v>895</v>
      </c>
    </row>
    <row r="1979" customFormat="false" ht="12.8" hidden="false" customHeight="false" outlineLevel="0" collapsed="false">
      <c r="A1979" s="1" t="s">
        <v>569</v>
      </c>
      <c r="C1979" s="3" t="s">
        <v>705</v>
      </c>
      <c r="D1979" s="4" t="s">
        <v>571</v>
      </c>
      <c r="F1979" s="6" t="s">
        <v>706</v>
      </c>
      <c r="G1979" s="7" t="str">
        <f aca="false">HYPERLINK(CONCATENATE("http://crfop.gdos.gov.pl/CRFOP/widok/viewpomnikprzyrody.jsf?fop=","PL.ZIPOP.1393.PP.1063011.3082"),"(kliknij lub Ctrl+kliknij)")</f>
        <v>(kliknij lub Ctrl+kliknij)</v>
      </c>
      <c r="H1979" s="0" t="s">
        <v>895</v>
      </c>
    </row>
    <row r="1980" customFormat="false" ht="12.8" hidden="false" customHeight="false" outlineLevel="0" collapsed="false">
      <c r="A1980" s="1" t="s">
        <v>569</v>
      </c>
      <c r="C1980" s="3" t="s">
        <v>705</v>
      </c>
      <c r="D1980" s="4" t="s">
        <v>571</v>
      </c>
      <c r="F1980" s="6" t="s">
        <v>706</v>
      </c>
      <c r="G1980" s="7" t="str">
        <f aca="false">HYPERLINK(CONCATENATE("http://crfop.gdos.gov.pl/CRFOP/widok/viewpomnikprzyrody.jsf?fop=","PL.ZIPOP.1393.PP.1063011.3083"),"(kliknij lub Ctrl+kliknij)")</f>
        <v>(kliknij lub Ctrl+kliknij)</v>
      </c>
      <c r="H1980" s="0" t="s">
        <v>895</v>
      </c>
    </row>
    <row r="1981" customFormat="false" ht="12.8" hidden="false" customHeight="false" outlineLevel="0" collapsed="false">
      <c r="A1981" s="1" t="s">
        <v>569</v>
      </c>
      <c r="C1981" s="3" t="s">
        <v>705</v>
      </c>
      <c r="D1981" s="4" t="s">
        <v>571</v>
      </c>
      <c r="F1981" s="6" t="s">
        <v>706</v>
      </c>
      <c r="G1981" s="7" t="str">
        <f aca="false">HYPERLINK(CONCATENATE("http://crfop.gdos.gov.pl/CRFOP/widok/viewpomnikprzyrody.jsf?fop=","PL.ZIPOP.1393.PP.1063011.3085"),"(kliknij lub Ctrl+kliknij)")</f>
        <v>(kliknij lub Ctrl+kliknij)</v>
      </c>
      <c r="H1981" s="0" t="s">
        <v>895</v>
      </c>
    </row>
    <row r="1982" customFormat="false" ht="12.8" hidden="false" customHeight="false" outlineLevel="0" collapsed="false">
      <c r="A1982" s="1" t="s">
        <v>569</v>
      </c>
      <c r="C1982" s="3" t="s">
        <v>705</v>
      </c>
      <c r="D1982" s="4" t="s">
        <v>571</v>
      </c>
      <c r="F1982" s="6" t="s">
        <v>706</v>
      </c>
      <c r="G1982" s="7" t="str">
        <f aca="false">HYPERLINK(CONCATENATE("http://crfop.gdos.gov.pl/CRFOP/widok/viewpomnikprzyrody.jsf?fop=","PL.ZIPOP.1393.PP.1063011.3086"),"(kliknij lub Ctrl+kliknij)")</f>
        <v>(kliknij lub Ctrl+kliknij)</v>
      </c>
      <c r="H1982" s="0" t="s">
        <v>895</v>
      </c>
    </row>
    <row r="1983" customFormat="false" ht="12.8" hidden="false" customHeight="false" outlineLevel="0" collapsed="false">
      <c r="A1983" s="1" t="s">
        <v>569</v>
      </c>
      <c r="C1983" s="3" t="s">
        <v>702</v>
      </c>
      <c r="D1983" s="4" t="s">
        <v>571</v>
      </c>
      <c r="F1983" s="6" t="s">
        <v>703</v>
      </c>
      <c r="G1983" s="7" t="str">
        <f aca="false">HYPERLINK(CONCATENATE("http://crfop.gdos.gov.pl/CRFOP/widok/viewpomnikprzyrody.jsf?fop=","PL.ZIPOP.1393.PP.1063011.3087"),"(kliknij lub Ctrl+kliknij)")</f>
        <v>(kliknij lub Ctrl+kliknij)</v>
      </c>
      <c r="H1983" s="0" t="s">
        <v>895</v>
      </c>
    </row>
    <row r="1984" customFormat="false" ht="12.8" hidden="false" customHeight="false" outlineLevel="0" collapsed="false">
      <c r="A1984" s="1" t="s">
        <v>569</v>
      </c>
      <c r="C1984" s="3" t="s">
        <v>702</v>
      </c>
      <c r="D1984" s="4" t="s">
        <v>571</v>
      </c>
      <c r="F1984" s="6" t="s">
        <v>703</v>
      </c>
      <c r="G1984" s="7" t="str">
        <f aca="false">HYPERLINK(CONCATENATE("http://crfop.gdos.gov.pl/CRFOP/widok/viewpomnikprzyrody.jsf?fop=","PL.ZIPOP.1393.PP.1063011.3088"),"(kliknij lub Ctrl+kliknij)")</f>
        <v>(kliknij lub Ctrl+kliknij)</v>
      </c>
      <c r="H1984" s="0" t="s">
        <v>895</v>
      </c>
    </row>
    <row r="1985" customFormat="false" ht="12.8" hidden="false" customHeight="false" outlineLevel="0" collapsed="false">
      <c r="A1985" s="1" t="s">
        <v>569</v>
      </c>
      <c r="C1985" s="3" t="s">
        <v>705</v>
      </c>
      <c r="D1985" s="4" t="s">
        <v>571</v>
      </c>
      <c r="F1985" s="6" t="s">
        <v>706</v>
      </c>
      <c r="G1985" s="7" t="str">
        <f aca="false">HYPERLINK(CONCATENATE("http://crfop.gdos.gov.pl/CRFOP/widok/viewpomnikprzyrody.jsf?fop=","PL.ZIPOP.1393.PP.1063011.3089"),"(kliknij lub Ctrl+kliknij)")</f>
        <v>(kliknij lub Ctrl+kliknij)</v>
      </c>
      <c r="H1985" s="0" t="s">
        <v>895</v>
      </c>
    </row>
    <row r="1986" customFormat="false" ht="69" hidden="false" customHeight="false" outlineLevel="0" collapsed="false">
      <c r="A1986" s="1" t="s">
        <v>569</v>
      </c>
      <c r="C1986" s="3" t="s">
        <v>702</v>
      </c>
      <c r="D1986" s="4" t="s">
        <v>571</v>
      </c>
      <c r="F1986" s="10" t="s">
        <v>703</v>
      </c>
      <c r="G1986" s="7" t="str">
        <f aca="false">HYPERLINK(CONCATENATE("http://crfop.gdos.gov.pl/CRFOP/widok/viewpomnikprzyrody.jsf?fop=","PL.ZIPOP.1393.PP.1063011.3090"),"(kliknij lub Ctrl+kliknij)")</f>
        <v>(kliknij lub Ctrl+kliknij)</v>
      </c>
      <c r="H1986" s="0" t="s">
        <v>895</v>
      </c>
    </row>
    <row r="1987" customFormat="false" ht="69" hidden="false" customHeight="false" outlineLevel="0" collapsed="false">
      <c r="A1987" s="1" t="s">
        <v>569</v>
      </c>
      <c r="C1987" s="3" t="s">
        <v>705</v>
      </c>
      <c r="D1987" s="4" t="s">
        <v>571</v>
      </c>
      <c r="F1987" s="10" t="s">
        <v>706</v>
      </c>
      <c r="G1987" s="7" t="str">
        <f aca="false">HYPERLINK(CONCATENATE("http://crfop.gdos.gov.pl/CRFOP/widok/viewpomnikprzyrody.jsf?fop=","PL.ZIPOP.1393.PP.1063011.3091"),"(kliknij lub Ctrl+kliknij)")</f>
        <v>(kliknij lub Ctrl+kliknij)</v>
      </c>
      <c r="H1987" s="0" t="s">
        <v>895</v>
      </c>
    </row>
    <row r="1988" customFormat="false" ht="69" hidden="false" customHeight="false" outlineLevel="0" collapsed="false">
      <c r="A1988" s="1" t="s">
        <v>569</v>
      </c>
      <c r="C1988" s="3" t="s">
        <v>702</v>
      </c>
      <c r="D1988" s="4" t="s">
        <v>571</v>
      </c>
      <c r="F1988" s="10" t="s">
        <v>703</v>
      </c>
      <c r="G1988" s="7" t="str">
        <f aca="false">HYPERLINK(CONCATENATE("http://crfop.gdos.gov.pl/CRFOP/widok/viewpomnikprzyrody.jsf?fop=","PL.ZIPOP.1393.PP.1063011.3092"),"(kliknij lub Ctrl+kliknij)")</f>
        <v>(kliknij lub Ctrl+kliknij)</v>
      </c>
      <c r="H1988" s="0" t="s">
        <v>895</v>
      </c>
    </row>
    <row r="1989" customFormat="false" ht="69" hidden="false" customHeight="false" outlineLevel="0" collapsed="false">
      <c r="A1989" s="1" t="s">
        <v>569</v>
      </c>
      <c r="C1989" s="3" t="s">
        <v>702</v>
      </c>
      <c r="D1989" s="4" t="s">
        <v>571</v>
      </c>
      <c r="F1989" s="10" t="s">
        <v>703</v>
      </c>
      <c r="G1989" s="7" t="str">
        <f aca="false">HYPERLINK(CONCATENATE("http://crfop.gdos.gov.pl/CRFOP/widok/viewpomnikprzyrody.jsf?fop=","PL.ZIPOP.1393.PP.1063011.3093"),"(kliknij lub Ctrl+kliknij)")</f>
        <v>(kliknij lub Ctrl+kliknij)</v>
      </c>
      <c r="H1989" s="0" t="s">
        <v>895</v>
      </c>
    </row>
    <row r="1990" customFormat="false" ht="12.8" hidden="false" customHeight="false" outlineLevel="0" collapsed="false">
      <c r="A1990" s="1" t="s">
        <v>569</v>
      </c>
      <c r="C1990" s="3" t="s">
        <v>702</v>
      </c>
      <c r="D1990" s="4" t="s">
        <v>571</v>
      </c>
      <c r="F1990" s="6" t="s">
        <v>703</v>
      </c>
      <c r="G1990" s="7" t="str">
        <f aca="false">HYPERLINK(CONCATENATE("http://crfop.gdos.gov.pl/CRFOP/widok/viewpomnikprzyrody.jsf?fop=","PL.ZIPOP.1393.PP.1063011.3094"),"(kliknij lub Ctrl+kliknij)")</f>
        <v>(kliknij lub Ctrl+kliknij)</v>
      </c>
      <c r="H1990" s="0" t="s">
        <v>895</v>
      </c>
    </row>
    <row r="1991" customFormat="false" ht="12.8" hidden="false" customHeight="false" outlineLevel="0" collapsed="false">
      <c r="A1991" s="1" t="s">
        <v>569</v>
      </c>
      <c r="C1991" s="3" t="s">
        <v>702</v>
      </c>
      <c r="D1991" s="4" t="s">
        <v>571</v>
      </c>
      <c r="F1991" s="6" t="s">
        <v>703</v>
      </c>
      <c r="G1991" s="7" t="str">
        <f aca="false">HYPERLINK(CONCATENATE("http://crfop.gdos.gov.pl/CRFOP/widok/viewpomnikprzyrody.jsf?fop=","PL.ZIPOP.1393.PP.1063011.3095"),"(kliknij lub Ctrl+kliknij)")</f>
        <v>(kliknij lub Ctrl+kliknij)</v>
      </c>
      <c r="H1991" s="0" t="s">
        <v>895</v>
      </c>
    </row>
    <row r="1992" customFormat="false" ht="12.8" hidden="false" customHeight="false" outlineLevel="0" collapsed="false">
      <c r="A1992" s="1" t="s">
        <v>569</v>
      </c>
      <c r="C1992" s="3" t="s">
        <v>702</v>
      </c>
      <c r="D1992" s="4" t="s">
        <v>571</v>
      </c>
      <c r="F1992" s="6" t="s">
        <v>703</v>
      </c>
      <c r="G1992" s="7" t="str">
        <f aca="false">HYPERLINK(CONCATENATE("http://crfop.gdos.gov.pl/CRFOP/widok/viewpomnikprzyrody.jsf?fop=","PL.ZIPOP.1393.PP.1063011.3096"),"(kliknij lub Ctrl+kliknij)")</f>
        <v>(kliknij lub Ctrl+kliknij)</v>
      </c>
      <c r="H1992" s="0" t="s">
        <v>895</v>
      </c>
    </row>
    <row r="1993" customFormat="false" ht="12.8" hidden="false" customHeight="false" outlineLevel="0" collapsed="false">
      <c r="A1993" s="1" t="s">
        <v>569</v>
      </c>
      <c r="C1993" s="3" t="s">
        <v>705</v>
      </c>
      <c r="D1993" s="4" t="s">
        <v>571</v>
      </c>
      <c r="F1993" s="6" t="s">
        <v>706</v>
      </c>
      <c r="G1993" s="7" t="str">
        <f aca="false">HYPERLINK(CONCATENATE("http://crfop.gdos.gov.pl/CRFOP/widok/viewpomnikprzyrody.jsf?fop=","PL.ZIPOP.1393.PP.1063011.3097"),"(kliknij lub Ctrl+kliknij)")</f>
        <v>(kliknij lub Ctrl+kliknij)</v>
      </c>
      <c r="H1993" s="0" t="s">
        <v>895</v>
      </c>
    </row>
    <row r="1994" customFormat="false" ht="12.8" hidden="false" customHeight="false" outlineLevel="0" collapsed="false">
      <c r="A1994" s="1" t="s">
        <v>569</v>
      </c>
      <c r="C1994" s="3" t="s">
        <v>702</v>
      </c>
      <c r="D1994" s="4" t="s">
        <v>571</v>
      </c>
      <c r="F1994" s="6" t="s">
        <v>703</v>
      </c>
      <c r="G1994" s="7" t="str">
        <f aca="false">HYPERLINK(CONCATENATE("http://crfop.gdos.gov.pl/CRFOP/widok/viewpomnikprzyrody.jsf?fop=","PL.ZIPOP.1393.PP.1063011.3098"),"(kliknij lub Ctrl+kliknij)")</f>
        <v>(kliknij lub Ctrl+kliknij)</v>
      </c>
      <c r="H1994" s="0" t="s">
        <v>895</v>
      </c>
    </row>
    <row r="1995" customFormat="false" ht="12.8" hidden="false" customHeight="false" outlineLevel="0" collapsed="false">
      <c r="A1995" s="1" t="s">
        <v>569</v>
      </c>
      <c r="C1995" s="3" t="s">
        <v>702</v>
      </c>
      <c r="D1995" s="4" t="s">
        <v>571</v>
      </c>
      <c r="F1995" s="6" t="s">
        <v>703</v>
      </c>
      <c r="G1995" s="7" t="str">
        <f aca="false">HYPERLINK(CONCATENATE("http://crfop.gdos.gov.pl/CRFOP/widok/viewpomnikprzyrody.jsf?fop=","PL.ZIPOP.1393.PP.1063011.3099"),"(kliknij lub Ctrl+kliknij)")</f>
        <v>(kliknij lub Ctrl+kliknij)</v>
      </c>
      <c r="H1995" s="0" t="s">
        <v>895</v>
      </c>
    </row>
    <row r="1996" customFormat="false" ht="12.8" hidden="false" customHeight="false" outlineLevel="0" collapsed="false">
      <c r="A1996" s="1" t="s">
        <v>569</v>
      </c>
      <c r="C1996" s="3" t="s">
        <v>702</v>
      </c>
      <c r="D1996" s="4" t="s">
        <v>571</v>
      </c>
      <c r="F1996" s="6" t="s">
        <v>703</v>
      </c>
      <c r="G1996" s="7" t="str">
        <f aca="false">HYPERLINK(CONCATENATE("http://crfop.gdos.gov.pl/CRFOP/widok/viewpomnikprzyrody.jsf?fop=","PL.ZIPOP.1393.PP.1063011.3100"),"(kliknij lub Ctrl+kliknij)")</f>
        <v>(kliknij lub Ctrl+kliknij)</v>
      </c>
      <c r="H1996" s="0" t="s">
        <v>895</v>
      </c>
    </row>
    <row r="1997" customFormat="false" ht="12.8" hidden="false" customHeight="false" outlineLevel="0" collapsed="false">
      <c r="A1997" s="1" t="s">
        <v>569</v>
      </c>
      <c r="C1997" s="3" t="s">
        <v>702</v>
      </c>
      <c r="D1997" s="4" t="s">
        <v>571</v>
      </c>
      <c r="F1997" s="6" t="s">
        <v>703</v>
      </c>
      <c r="G1997" s="7" t="str">
        <f aca="false">HYPERLINK(CONCATENATE("http://crfop.gdos.gov.pl/CRFOP/widok/viewpomnikprzyrody.jsf?fop=","PL.ZIPOP.1393.PP.1063011.3101"),"(kliknij lub Ctrl+kliknij)")</f>
        <v>(kliknij lub Ctrl+kliknij)</v>
      </c>
      <c r="H1997" s="0" t="s">
        <v>895</v>
      </c>
    </row>
    <row r="1998" customFormat="false" ht="12.8" hidden="false" customHeight="false" outlineLevel="0" collapsed="false">
      <c r="A1998" s="1" t="s">
        <v>569</v>
      </c>
      <c r="C1998" s="3" t="s">
        <v>702</v>
      </c>
      <c r="D1998" s="4" t="s">
        <v>571</v>
      </c>
      <c r="F1998" s="6" t="s">
        <v>703</v>
      </c>
      <c r="G1998" s="7" t="str">
        <f aca="false">HYPERLINK(CONCATENATE("http://crfop.gdos.gov.pl/CRFOP/widok/viewpomnikprzyrody.jsf?fop=","PL.ZIPOP.1393.PP.1063011.3102"),"(kliknij lub Ctrl+kliknij)")</f>
        <v>(kliknij lub Ctrl+kliknij)</v>
      </c>
      <c r="H1998" s="0" t="s">
        <v>895</v>
      </c>
    </row>
    <row r="1999" customFormat="false" ht="12.8" hidden="false" customHeight="false" outlineLevel="0" collapsed="false">
      <c r="A1999" s="1" t="s">
        <v>569</v>
      </c>
      <c r="C1999" s="3" t="s">
        <v>705</v>
      </c>
      <c r="D1999" s="4" t="s">
        <v>571</v>
      </c>
      <c r="F1999" s="6" t="s">
        <v>706</v>
      </c>
      <c r="G1999" s="7" t="str">
        <f aca="false">HYPERLINK(CONCATENATE("http://crfop.gdos.gov.pl/CRFOP/widok/viewpomnikprzyrody.jsf?fop=","PL.ZIPOP.1393.PP.1063011.3103"),"(kliknij lub Ctrl+kliknij)")</f>
        <v>(kliknij lub Ctrl+kliknij)</v>
      </c>
      <c r="H1999" s="0" t="s">
        <v>895</v>
      </c>
    </row>
    <row r="2000" customFormat="false" ht="12.8" hidden="false" customHeight="false" outlineLevel="0" collapsed="false">
      <c r="A2000" s="1" t="s">
        <v>569</v>
      </c>
      <c r="C2000" s="3" t="s">
        <v>702</v>
      </c>
      <c r="D2000" s="4" t="s">
        <v>571</v>
      </c>
      <c r="F2000" s="6" t="s">
        <v>703</v>
      </c>
      <c r="G2000" s="7" t="str">
        <f aca="false">HYPERLINK(CONCATENATE("http://crfop.gdos.gov.pl/CRFOP/widok/viewpomnikprzyrody.jsf?fop=","PL.ZIPOP.1393.PP.1063011.3104"),"(kliknij lub Ctrl+kliknij)")</f>
        <v>(kliknij lub Ctrl+kliknij)</v>
      </c>
      <c r="H2000" s="0" t="s">
        <v>895</v>
      </c>
    </row>
    <row r="2001" customFormat="false" ht="69" hidden="false" customHeight="false" outlineLevel="0" collapsed="false">
      <c r="A2001" s="1" t="s">
        <v>569</v>
      </c>
      <c r="C2001" s="3" t="s">
        <v>702</v>
      </c>
      <c r="D2001" s="4" t="s">
        <v>571</v>
      </c>
      <c r="F2001" s="10" t="s">
        <v>703</v>
      </c>
      <c r="G2001" s="7" t="str">
        <f aca="false">HYPERLINK(CONCATENATE("http://crfop.gdos.gov.pl/CRFOP/widok/viewpomnikprzyrody.jsf?fop=","PL.ZIPOP.1393.PP.1063011.3105"),"(kliknij lub Ctrl+kliknij)")</f>
        <v>(kliknij lub Ctrl+kliknij)</v>
      </c>
      <c r="H2001" s="0" t="s">
        <v>895</v>
      </c>
    </row>
    <row r="2002" customFormat="false" ht="12.8" hidden="false" customHeight="false" outlineLevel="0" collapsed="false">
      <c r="A2002" s="1" t="s">
        <v>569</v>
      </c>
      <c r="C2002" s="3" t="s">
        <v>702</v>
      </c>
      <c r="D2002" s="4" t="s">
        <v>571</v>
      </c>
      <c r="F2002" s="6" t="s">
        <v>703</v>
      </c>
      <c r="G2002" s="7" t="str">
        <f aca="false">HYPERLINK(CONCATENATE("http://crfop.gdos.gov.pl/CRFOP/widok/viewpomnikprzyrody.jsf?fop=","PL.ZIPOP.1393.PP.1063011.3106"),"(kliknij lub Ctrl+kliknij)")</f>
        <v>(kliknij lub Ctrl+kliknij)</v>
      </c>
      <c r="H2002" s="0" t="s">
        <v>895</v>
      </c>
    </row>
    <row r="2003" customFormat="false" ht="12.8" hidden="false" customHeight="false" outlineLevel="0" collapsed="false">
      <c r="A2003" s="1" t="s">
        <v>569</v>
      </c>
      <c r="C2003" s="3" t="s">
        <v>1102</v>
      </c>
      <c r="D2003" s="4" t="s">
        <v>571</v>
      </c>
      <c r="F2003" s="6" t="s">
        <v>888</v>
      </c>
      <c r="G2003" s="7" t="str">
        <f aca="false">HYPERLINK(CONCATENATE("http://crfop.gdos.gov.pl/CRFOP/widok/viewpomnikprzyrody.jsf?fop=","PL.ZIPOP.1393.PP.1063011.3108"),"(kliknij lub Ctrl+kliknij)")</f>
        <v>(kliknij lub Ctrl+kliknij)</v>
      </c>
      <c r="H2003" s="0" t="s">
        <v>895</v>
      </c>
    </row>
    <row r="2004" customFormat="false" ht="12.8" hidden="false" customHeight="false" outlineLevel="0" collapsed="false">
      <c r="A2004" s="1" t="s">
        <v>569</v>
      </c>
      <c r="C2004" s="3" t="s">
        <v>705</v>
      </c>
      <c r="D2004" s="4" t="s">
        <v>571</v>
      </c>
      <c r="F2004" s="6" t="s">
        <v>706</v>
      </c>
      <c r="G2004" s="7" t="str">
        <f aca="false">HYPERLINK(CONCATENATE("http://crfop.gdos.gov.pl/CRFOP/widok/viewpomnikprzyrody.jsf?fop=","PL.ZIPOP.1393.PP.1063011.969"),"(kliknij lub Ctrl+kliknij)")</f>
        <v>(kliknij lub Ctrl+kliknij)</v>
      </c>
      <c r="H2004" s="0" t="s">
        <v>895</v>
      </c>
    </row>
    <row r="2005" customFormat="false" ht="12.8" hidden="false" customHeight="false" outlineLevel="0" collapsed="false">
      <c r="A2005" s="1" t="s">
        <v>569</v>
      </c>
      <c r="C2005" s="3" t="s">
        <v>705</v>
      </c>
      <c r="D2005" s="4" t="s">
        <v>571</v>
      </c>
      <c r="F2005" s="6" t="s">
        <v>706</v>
      </c>
      <c r="G2005" s="7" t="str">
        <f aca="false">HYPERLINK(CONCATENATE("http://crfop.gdos.gov.pl/CRFOP/widok/viewpomnikprzyrody.jsf?fop=","PL.ZIPOP.1393.PP.1063011.971"),"(kliknij lub Ctrl+kliknij)")</f>
        <v>(kliknij lub Ctrl+kliknij)</v>
      </c>
      <c r="H2005" s="0" t="s">
        <v>895</v>
      </c>
    </row>
    <row r="2006" customFormat="false" ht="12.8" hidden="false" customHeight="false" outlineLevel="0" collapsed="false">
      <c r="A2006" s="1" t="s">
        <v>569</v>
      </c>
      <c r="C2006" s="3" t="s">
        <v>702</v>
      </c>
      <c r="D2006" s="4" t="s">
        <v>571</v>
      </c>
      <c r="F2006" s="6" t="s">
        <v>703</v>
      </c>
      <c r="G2006" s="7" t="str">
        <f aca="false">HYPERLINK(CONCATENATE("http://crfop.gdos.gov.pl/CRFOP/widok/viewpomnikprzyrody.jsf?fop=","PL.ZIPOP.1393.PP.1063011.979"),"(kliknij lub Ctrl+kliknij)")</f>
        <v>(kliknij lub Ctrl+kliknij)</v>
      </c>
      <c r="H2006" s="0" t="s">
        <v>895</v>
      </c>
    </row>
    <row r="2007" customFormat="false" ht="12.8" hidden="false" customHeight="false" outlineLevel="0" collapsed="false">
      <c r="A2007" s="1" t="s">
        <v>569</v>
      </c>
      <c r="C2007" s="3" t="s">
        <v>702</v>
      </c>
      <c r="D2007" s="4" t="s">
        <v>571</v>
      </c>
      <c r="F2007" s="6" t="s">
        <v>703</v>
      </c>
      <c r="G2007" s="7" t="str">
        <f aca="false">HYPERLINK(CONCATENATE("http://crfop.gdos.gov.pl/CRFOP/widok/viewpomnikprzyrody.jsf?fop=","PL.ZIPOP.1393.PP.1063011.980"),"(kliknij lub Ctrl+kliknij)")</f>
        <v>(kliknij lub Ctrl+kliknij)</v>
      </c>
      <c r="H2007" s="0" t="s">
        <v>895</v>
      </c>
    </row>
    <row r="2008" customFormat="false" ht="12.8" hidden="false" customHeight="false" outlineLevel="0" collapsed="false">
      <c r="A2008" s="1" t="s">
        <v>569</v>
      </c>
      <c r="C2008" s="3" t="s">
        <v>705</v>
      </c>
      <c r="D2008" s="4" t="s">
        <v>571</v>
      </c>
      <c r="F2008" s="6" t="s">
        <v>706</v>
      </c>
      <c r="G2008" s="7" t="str">
        <f aca="false">HYPERLINK(CONCATENATE("http://crfop.gdos.gov.pl/CRFOP/widok/viewpomnikprzyrody.jsf?fop=","PL.ZIPOP.1393.PP.1063011.987"),"(kliknij lub Ctrl+kliknij)")</f>
        <v>(kliknij lub Ctrl+kliknij)</v>
      </c>
      <c r="H2008" s="0" t="s">
        <v>895</v>
      </c>
    </row>
    <row r="2009" customFormat="false" ht="12.8" hidden="false" customHeight="false" outlineLevel="0" collapsed="false">
      <c r="A2009" s="1" t="s">
        <v>569</v>
      </c>
      <c r="C2009" s="3" t="s">
        <v>684</v>
      </c>
      <c r="D2009" s="4" t="s">
        <v>571</v>
      </c>
      <c r="F2009" s="6" t="s">
        <v>685</v>
      </c>
      <c r="G2009" s="7" t="str">
        <f aca="false">HYPERLINK(CONCATENATE("http://crfop.gdos.gov.pl/CRFOP/widok/viewpomnikprzyrody.jsf?fop=","PL.ZIPOP.1393.PP.1063011.992"),"(kliknij lub Ctrl+kliknij)")</f>
        <v>(kliknij lub Ctrl+kliknij)</v>
      </c>
      <c r="H2009" s="0" t="s">
        <v>895</v>
      </c>
    </row>
    <row r="2010" customFormat="false" ht="12.8" hidden="false" customHeight="false" outlineLevel="0" collapsed="false">
      <c r="A2010" s="1" t="s">
        <v>569</v>
      </c>
      <c r="C2010" s="3" t="s">
        <v>684</v>
      </c>
      <c r="D2010" s="4" t="s">
        <v>571</v>
      </c>
      <c r="F2010" s="6" t="s">
        <v>685</v>
      </c>
      <c r="G2010" s="7" t="str">
        <f aca="false">HYPERLINK(CONCATENATE("http://crfop.gdos.gov.pl/CRFOP/widok/viewpomnikprzyrody.jsf?fop=","PL.ZIPOP.1393.PP.1063011.993"),"(kliknij lub Ctrl+kliknij)")</f>
        <v>(kliknij lub Ctrl+kliknij)</v>
      </c>
      <c r="H2010" s="0" t="s">
        <v>895</v>
      </c>
    </row>
    <row r="2011" customFormat="false" ht="12.8" hidden="false" customHeight="false" outlineLevel="0" collapsed="false">
      <c r="A2011" s="1" t="s">
        <v>569</v>
      </c>
      <c r="C2011" s="3" t="s">
        <v>887</v>
      </c>
      <c r="D2011" s="4" t="s">
        <v>571</v>
      </c>
      <c r="F2011" s="6" t="s">
        <v>888</v>
      </c>
      <c r="G2011" s="7" t="str">
        <f aca="false">HYPERLINK(CONCATENATE("http://crfop.gdos.gov.pl/CRFOP/widok/viewpomnikprzyrody.jsf?fop=","PL.ZIPOP.1393.PP.1063011.994"),"(kliknij lub Ctrl+kliknij)")</f>
        <v>(kliknij lub Ctrl+kliknij)</v>
      </c>
      <c r="H2011" s="0" t="s">
        <v>895</v>
      </c>
    </row>
    <row r="2012" customFormat="false" ht="12.8" hidden="false" customHeight="false" outlineLevel="0" collapsed="false">
      <c r="A2012" s="1" t="s">
        <v>569</v>
      </c>
      <c r="C2012" s="3" t="s">
        <v>887</v>
      </c>
      <c r="D2012" s="4" t="s">
        <v>571</v>
      </c>
      <c r="F2012" s="6" t="s">
        <v>888</v>
      </c>
      <c r="G2012" s="7" t="str">
        <f aca="false">HYPERLINK(CONCATENATE("http://crfop.gdos.gov.pl/CRFOP/widok/viewpomnikprzyrody.jsf?fop=","PL.ZIPOP.1393.PP.1063011.995"),"(kliknij lub Ctrl+kliknij)")</f>
        <v>(kliknij lub Ctrl+kliknij)</v>
      </c>
      <c r="H2012" s="0" t="s">
        <v>895</v>
      </c>
    </row>
    <row r="2013" customFormat="false" ht="12.8" hidden="false" customHeight="false" outlineLevel="0" collapsed="false">
      <c r="A2013" s="1" t="s">
        <v>569</v>
      </c>
      <c r="C2013" s="3" t="s">
        <v>887</v>
      </c>
      <c r="D2013" s="4" t="s">
        <v>571</v>
      </c>
      <c r="F2013" s="6" t="s">
        <v>888</v>
      </c>
      <c r="G2013" s="7" t="str">
        <f aca="false">HYPERLINK(CONCATENATE("http://crfop.gdos.gov.pl/CRFOP/widok/viewpomnikprzyrody.jsf?fop=","PL.ZIPOP.1393.PP.1063011.996"),"(kliknij lub Ctrl+kliknij)")</f>
        <v>(kliknij lub Ctrl+kliknij)</v>
      </c>
      <c r="H2013" s="0" t="s">
        <v>895</v>
      </c>
    </row>
    <row r="2014" customFormat="false" ht="12.8" hidden="false" customHeight="false" outlineLevel="0" collapsed="false">
      <c r="A2014" s="1" t="s">
        <v>569</v>
      </c>
      <c r="C2014" s="3" t="s">
        <v>887</v>
      </c>
      <c r="D2014" s="4" t="s">
        <v>571</v>
      </c>
      <c r="F2014" s="6" t="s">
        <v>888</v>
      </c>
      <c r="G2014" s="7" t="str">
        <f aca="false">HYPERLINK(CONCATENATE("http://crfop.gdos.gov.pl/CRFOP/widok/viewpomnikprzyrody.jsf?fop=","PL.ZIPOP.1393.PP.1063011.997"),"(kliknij lub Ctrl+kliknij)")</f>
        <v>(kliknij lub Ctrl+kliknij)</v>
      </c>
      <c r="H2014" s="0" t="s">
        <v>895</v>
      </c>
    </row>
    <row r="2015" customFormat="false" ht="12.8" hidden="false" customHeight="false" outlineLevel="0" collapsed="false">
      <c r="A2015" s="1" t="s">
        <v>569</v>
      </c>
      <c r="C2015" s="3" t="s">
        <v>887</v>
      </c>
      <c r="D2015" s="4" t="s">
        <v>571</v>
      </c>
      <c r="F2015" s="6" t="s">
        <v>888</v>
      </c>
      <c r="G2015" s="7" t="str">
        <f aca="false">HYPERLINK(CONCATENATE("http://crfop.gdos.gov.pl/CRFOP/widok/viewpomnikprzyrody.jsf?fop=","PL.ZIPOP.1393.PP.1063011.998"),"(kliknij lub Ctrl+kliknij)")</f>
        <v>(kliknij lub Ctrl+kliknij)</v>
      </c>
      <c r="H2015" s="0" t="s">
        <v>895</v>
      </c>
    </row>
    <row r="2016" customFormat="false" ht="12.8" hidden="false" customHeight="false" outlineLevel="0" collapsed="false">
      <c r="A2016" s="1" t="s">
        <v>569</v>
      </c>
      <c r="C2016" s="3" t="s">
        <v>1103</v>
      </c>
      <c r="F2016" s="6" t="s">
        <v>1104</v>
      </c>
      <c r="G2016" s="7" t="str">
        <f aca="false">HYPERLINK(CONCATENATE("http://crfop.gdos.gov.pl/CRFOP/widok/viewpomnikprzyrody.jsf?fop=","PL.ZIPOP.1393.PP.1061011.5002"),"(kliknij lub Ctrl+kliknij)")</f>
        <v>(kliknij lub Ctrl+kliknij)</v>
      </c>
      <c r="H2016" s="0" t="s">
        <v>1075</v>
      </c>
    </row>
    <row r="2017" customFormat="false" ht="12.8" hidden="false" customHeight="false" outlineLevel="0" collapsed="false">
      <c r="A2017" s="1" t="s">
        <v>569</v>
      </c>
      <c r="C2017" s="3" t="s">
        <v>1103</v>
      </c>
      <c r="F2017" s="6" t="s">
        <v>1104</v>
      </c>
      <c r="G2017" s="7" t="str">
        <f aca="false">HYPERLINK(CONCATENATE("http://crfop.gdos.gov.pl/CRFOP/widok/viewpomnikprzyrody.jsf?fop=","PL.ZIPOP.1393.PP.1061011.5003"),"(kliknij lub Ctrl+kliknij)")</f>
        <v>(kliknij lub Ctrl+kliknij)</v>
      </c>
      <c r="H2017" s="0" t="s">
        <v>1075</v>
      </c>
    </row>
    <row r="2018" customFormat="false" ht="12.8" hidden="false" customHeight="false" outlineLevel="0" collapsed="false">
      <c r="A2018" s="1" t="s">
        <v>569</v>
      </c>
      <c r="C2018" s="3" t="s">
        <v>1103</v>
      </c>
      <c r="F2018" s="6" t="s">
        <v>1105</v>
      </c>
      <c r="G2018" s="7" t="str">
        <f aca="false">HYPERLINK(CONCATENATE("http://crfop.gdos.gov.pl/CRFOP/widok/viewpomnikprzyrody.jsf?fop=","PL.ZIPOP.1393.PP.1061011.5004"),"(kliknij lub Ctrl+kliknij)")</f>
        <v>(kliknij lub Ctrl+kliknij)</v>
      </c>
      <c r="H2018" s="0" t="s">
        <v>1075</v>
      </c>
    </row>
    <row r="2019" customFormat="false" ht="12.8" hidden="false" customHeight="false" outlineLevel="0" collapsed="false">
      <c r="A2019" s="1" t="s">
        <v>569</v>
      </c>
      <c r="C2019" s="3" t="s">
        <v>1103</v>
      </c>
      <c r="F2019" s="6" t="s">
        <v>1104</v>
      </c>
      <c r="G2019" s="7" t="str">
        <f aca="false">HYPERLINK(CONCATENATE("http://crfop.gdos.gov.pl/CRFOP/widok/viewpomnikprzyrody.jsf?fop=","PL.ZIPOP.1393.PP.1061011.5005"),"(kliknij lub Ctrl+kliknij)")</f>
        <v>(kliknij lub Ctrl+kliknij)</v>
      </c>
      <c r="H2019" s="0" t="s">
        <v>1075</v>
      </c>
    </row>
    <row r="2020" customFormat="false" ht="12.8" hidden="false" customHeight="false" outlineLevel="0" collapsed="false">
      <c r="A2020" s="1" t="s">
        <v>569</v>
      </c>
      <c r="C2020" s="3" t="s">
        <v>1106</v>
      </c>
      <c r="F2020" s="6" t="s">
        <v>1107</v>
      </c>
      <c r="G2020" s="7" t="str">
        <f aca="false">HYPERLINK(CONCATENATE("http://crfop.gdos.gov.pl/CRFOP/widok/viewpomnikprzyrody.jsf?fop=","PL.ZIPOP.1393.PP.1019042.5006"),"(kliknij lub Ctrl+kliknij)")</f>
        <v>(kliknij lub Ctrl+kliknij)</v>
      </c>
      <c r="H2020" s="0" t="s">
        <v>990</v>
      </c>
    </row>
    <row r="2021" customFormat="false" ht="12.8" hidden="false" customHeight="false" outlineLevel="0" collapsed="false">
      <c r="A2021" s="1" t="s">
        <v>569</v>
      </c>
      <c r="C2021" s="3" t="s">
        <v>710</v>
      </c>
      <c r="F2021" s="6" t="s">
        <v>711</v>
      </c>
      <c r="G2021" s="7" t="str">
        <f aca="false">HYPERLINK(CONCATENATE("http://crfop.gdos.gov.pl/CRFOP/widok/viewpomnikprzyrody.jsf?fop=","PL.ZIPOP.1393.PP.1020085.5007"),"(kliknij lub Ctrl+kliknij)")</f>
        <v>(kliknij lub Ctrl+kliknij)</v>
      </c>
    </row>
    <row r="2022" customFormat="false" ht="12.8" hidden="false" customHeight="false" outlineLevel="0" collapsed="false">
      <c r="A2022" s="1" t="s">
        <v>569</v>
      </c>
      <c r="C2022" s="3" t="s">
        <v>713</v>
      </c>
      <c r="F2022" s="6" t="s">
        <v>714</v>
      </c>
      <c r="G2022" s="7" t="str">
        <f aca="false">HYPERLINK(CONCATENATE("http://crfop.gdos.gov.pl/CRFOP/widok/viewpomnikprzyrody.jsf?fop=","PL.ZIPOP.1393.PP.1020085.5020"),"(kliknij lub Ctrl+kliknij)")</f>
        <v>(kliknij lub Ctrl+kliknij)</v>
      </c>
    </row>
    <row r="2023" customFormat="false" ht="12.8" hidden="false" customHeight="false" outlineLevel="0" collapsed="false">
      <c r="A2023" s="1" t="s">
        <v>569</v>
      </c>
      <c r="C2023" s="3" t="s">
        <v>1108</v>
      </c>
      <c r="F2023" s="6" t="s">
        <v>1109</v>
      </c>
      <c r="G2023" s="7" t="str">
        <f aca="false">HYPERLINK(CONCATENATE("http://crfop.gdos.gov.pl/CRFOP/widok/viewpomnikprzyrody.jsf?fop=","PL.ZIPOP.1393.PP.1061011.5025"),"(kliknij lub Ctrl+kliknij)")</f>
        <v>(kliknij lub Ctrl+kliknij)</v>
      </c>
      <c r="H2023" s="0" t="s">
        <v>1075</v>
      </c>
    </row>
    <row r="2024" customFormat="false" ht="12.8" hidden="false" customHeight="false" outlineLevel="0" collapsed="false">
      <c r="A2024" s="1" t="s">
        <v>569</v>
      </c>
      <c r="C2024" s="3" t="s">
        <v>1108</v>
      </c>
      <c r="F2024" s="6" t="s">
        <v>1109</v>
      </c>
      <c r="G2024" s="7" t="str">
        <f aca="false">HYPERLINK(CONCATENATE("http://crfop.gdos.gov.pl/CRFOP/widok/viewpomnikprzyrody.jsf?fop=","PL.ZIPOP.1393.PP.1061011.5026"),"(kliknij lub Ctrl+kliknij)")</f>
        <v>(kliknij lub Ctrl+kliknij)</v>
      </c>
      <c r="H2024" s="0" t="s">
        <v>1075</v>
      </c>
    </row>
    <row r="2025" customFormat="false" ht="12.8" hidden="false" customHeight="false" outlineLevel="0" collapsed="false">
      <c r="A2025" s="1" t="s">
        <v>569</v>
      </c>
      <c r="C2025" s="3" t="s">
        <v>1108</v>
      </c>
      <c r="F2025" s="6" t="s">
        <v>1109</v>
      </c>
      <c r="G2025" s="7" t="str">
        <f aca="false">HYPERLINK(CONCATENATE("http://crfop.gdos.gov.pl/CRFOP/widok/viewpomnikprzyrody.jsf?fop=","PL.ZIPOP.1393.PP.1061011.5027"),"(kliknij lub Ctrl+kliknij)")</f>
        <v>(kliknij lub Ctrl+kliknij)</v>
      </c>
      <c r="H2025" s="0" t="s">
        <v>1075</v>
      </c>
    </row>
    <row r="2026" customFormat="false" ht="12.8" hidden="false" customHeight="false" outlineLevel="0" collapsed="false">
      <c r="A2026" s="1" t="s">
        <v>569</v>
      </c>
      <c r="C2026" s="3" t="s">
        <v>1108</v>
      </c>
      <c r="F2026" s="6" t="s">
        <v>1109</v>
      </c>
      <c r="G2026" s="7" t="str">
        <f aca="false">HYPERLINK(CONCATENATE("http://crfop.gdos.gov.pl/CRFOP/widok/viewpomnikprzyrody.jsf?fop=","PL.ZIPOP.1393.PP.1061011.5029"),"(kliknij lub Ctrl+kliknij)")</f>
        <v>(kliknij lub Ctrl+kliknij)</v>
      </c>
      <c r="H2026" s="0" t="s">
        <v>1075</v>
      </c>
    </row>
    <row r="2027" customFormat="false" ht="12.8" hidden="false" customHeight="false" outlineLevel="0" collapsed="false">
      <c r="A2027" s="1" t="s">
        <v>569</v>
      </c>
      <c r="C2027" s="3" t="s">
        <v>1108</v>
      </c>
      <c r="F2027" s="6" t="s">
        <v>1109</v>
      </c>
      <c r="G2027" s="7" t="str">
        <f aca="false">HYPERLINK(CONCATENATE("http://crfop.gdos.gov.pl/CRFOP/widok/viewpomnikprzyrody.jsf?fop=","PL.ZIPOP.1393.PP.1061011.5030"),"(kliknij lub Ctrl+kliknij)")</f>
        <v>(kliknij lub Ctrl+kliknij)</v>
      </c>
      <c r="H2027" s="0" t="s">
        <v>1075</v>
      </c>
    </row>
    <row r="2028" customFormat="false" ht="12.8" hidden="false" customHeight="false" outlineLevel="0" collapsed="false">
      <c r="A2028" s="1" t="s">
        <v>569</v>
      </c>
      <c r="C2028" s="3" t="s">
        <v>1108</v>
      </c>
      <c r="F2028" s="6" t="s">
        <v>1109</v>
      </c>
      <c r="G2028" s="7" t="str">
        <f aca="false">HYPERLINK(CONCATENATE("http://crfop.gdos.gov.pl/CRFOP/widok/viewpomnikprzyrody.jsf?fop=","PL.ZIPOP.1393.PP.1061011.5031"),"(kliknij lub Ctrl+kliknij)")</f>
        <v>(kliknij lub Ctrl+kliknij)</v>
      </c>
      <c r="H2028" s="0" t="s">
        <v>1075</v>
      </c>
    </row>
    <row r="2029" customFormat="false" ht="12.8" hidden="false" customHeight="false" outlineLevel="0" collapsed="false">
      <c r="A2029" s="1" t="s">
        <v>569</v>
      </c>
      <c r="B2029" s="2" t="s">
        <v>1110</v>
      </c>
      <c r="C2029" s="3" t="s">
        <v>1111</v>
      </c>
      <c r="F2029" s="6" t="s">
        <v>1112</v>
      </c>
      <c r="G2029" s="7" t="str">
        <f aca="false">HYPERLINK(CONCATENATE("http://crfop.gdos.gov.pl/CRFOP/widok/viewpomnikprzyrody.jsf?fop=","PL.ZIPOP.1393.PP.1001085.5032"),"(kliknij lub Ctrl+kliknij)")</f>
        <v>(kliknij lub Ctrl+kliknij)</v>
      </c>
    </row>
    <row r="2030" customFormat="false" ht="12.8" hidden="false" customHeight="false" outlineLevel="0" collapsed="false">
      <c r="A2030" s="1" t="s">
        <v>569</v>
      </c>
      <c r="C2030" s="3" t="s">
        <v>723</v>
      </c>
      <c r="F2030" s="6" t="s">
        <v>724</v>
      </c>
      <c r="G2030" s="7" t="str">
        <f aca="false">HYPERLINK(CONCATENATE("http://crfop.gdos.gov.pl/CRFOP/widok/viewpomnikprzyrody.jsf?fop=","PL.ZIPOP.1393.PP.1007062.5033"),"(kliknij lub Ctrl+kliknij)")</f>
        <v>(kliknij lub Ctrl+kliknij)</v>
      </c>
      <c r="H2030" s="0" t="s">
        <v>727</v>
      </c>
    </row>
    <row r="2031" customFormat="false" ht="12.8" hidden="false" customHeight="false" outlineLevel="0" collapsed="false">
      <c r="A2031" s="1" t="s">
        <v>569</v>
      </c>
      <c r="C2031" s="3" t="s">
        <v>723</v>
      </c>
      <c r="F2031" s="6" t="s">
        <v>724</v>
      </c>
      <c r="G2031" s="7" t="str">
        <f aca="false">HYPERLINK(CONCATENATE("http://crfop.gdos.gov.pl/CRFOP/widok/viewpomnikprzyrody.jsf?fop=","PL.ZIPOP.1393.PP.1007062.5034"),"(kliknij lub Ctrl+kliknij)")</f>
        <v>(kliknij lub Ctrl+kliknij)</v>
      </c>
      <c r="H2031" s="0" t="s">
        <v>727</v>
      </c>
    </row>
    <row r="2032" customFormat="false" ht="12.8" hidden="false" customHeight="false" outlineLevel="0" collapsed="false">
      <c r="A2032" s="1" t="s">
        <v>569</v>
      </c>
      <c r="C2032" s="3" t="s">
        <v>723</v>
      </c>
      <c r="F2032" s="6" t="s">
        <v>724</v>
      </c>
      <c r="G2032" s="7" t="str">
        <f aca="false">HYPERLINK(CONCATENATE("http://crfop.gdos.gov.pl/CRFOP/widok/viewpomnikprzyrody.jsf?fop=","PL.ZIPOP.1393.PP.1007062.5035"),"(kliknij lub Ctrl+kliknij)")</f>
        <v>(kliknij lub Ctrl+kliknij)</v>
      </c>
      <c r="H2032" s="0" t="s">
        <v>727</v>
      </c>
    </row>
    <row r="2033" customFormat="false" ht="12.8" hidden="false" customHeight="false" outlineLevel="0" collapsed="false">
      <c r="A2033" s="1" t="s">
        <v>569</v>
      </c>
      <c r="C2033" s="3" t="s">
        <v>723</v>
      </c>
      <c r="F2033" s="6" t="s">
        <v>724</v>
      </c>
      <c r="G2033" s="7" t="str">
        <f aca="false">HYPERLINK(CONCATENATE("http://crfop.gdos.gov.pl/CRFOP/widok/viewpomnikprzyrody.jsf?fop=","PL.ZIPOP.1393.PP.1007062.5036"),"(kliknij lub Ctrl+kliknij)")</f>
        <v>(kliknij lub Ctrl+kliknij)</v>
      </c>
      <c r="H2033" s="0" t="s">
        <v>727</v>
      </c>
    </row>
    <row r="2034" customFormat="false" ht="12.8" hidden="false" customHeight="false" outlineLevel="0" collapsed="false">
      <c r="A2034" s="1" t="s">
        <v>569</v>
      </c>
      <c r="C2034" s="3" t="s">
        <v>723</v>
      </c>
      <c r="F2034" s="6" t="s">
        <v>724</v>
      </c>
      <c r="G2034" s="7" t="str">
        <f aca="false">HYPERLINK(CONCATENATE("http://crfop.gdos.gov.pl/CRFOP/widok/viewpomnikprzyrody.jsf?fop=","PL.ZIPOP.1393.PP.1007062.5038"),"(kliknij lub Ctrl+kliknij)")</f>
        <v>(kliknij lub Ctrl+kliknij)</v>
      </c>
      <c r="H2034" s="0" t="s">
        <v>727</v>
      </c>
    </row>
    <row r="2035" customFormat="false" ht="12.8" hidden="false" customHeight="false" outlineLevel="0" collapsed="false">
      <c r="A2035" s="1" t="s">
        <v>569</v>
      </c>
      <c r="C2035" s="3" t="s">
        <v>723</v>
      </c>
      <c r="F2035" s="6" t="s">
        <v>724</v>
      </c>
      <c r="G2035" s="7" t="str">
        <f aca="false">HYPERLINK(CONCATENATE("http://crfop.gdos.gov.pl/CRFOP/widok/viewpomnikprzyrody.jsf?fop=","PL.ZIPOP.1393.PP.1007062.5039"),"(kliknij lub Ctrl+kliknij)")</f>
        <v>(kliknij lub Ctrl+kliknij)</v>
      </c>
      <c r="H2035" s="0" t="s">
        <v>727</v>
      </c>
    </row>
    <row r="2036" customFormat="false" ht="12.8" hidden="false" customHeight="false" outlineLevel="0" collapsed="false">
      <c r="A2036" s="1" t="s">
        <v>569</v>
      </c>
      <c r="C2036" s="3" t="s">
        <v>723</v>
      </c>
      <c r="F2036" s="6" t="s">
        <v>724</v>
      </c>
      <c r="G2036" s="7" t="str">
        <f aca="false">HYPERLINK(CONCATENATE("http://crfop.gdos.gov.pl/CRFOP/widok/viewpomnikprzyrody.jsf?fop=","PL.ZIPOP.1393.PP.1007062.5041"),"(kliknij lub Ctrl+kliknij)")</f>
        <v>(kliknij lub Ctrl+kliknij)</v>
      </c>
      <c r="H2036" s="0" t="s">
        <v>727</v>
      </c>
    </row>
    <row r="2037" customFormat="false" ht="12.8" hidden="false" customHeight="false" outlineLevel="0" collapsed="false">
      <c r="A2037" s="1" t="s">
        <v>569</v>
      </c>
      <c r="C2037" s="3" t="s">
        <v>710</v>
      </c>
      <c r="F2037" s="6" t="s">
        <v>711</v>
      </c>
      <c r="G2037" s="7" t="str">
        <f aca="false">HYPERLINK(CONCATENATE("http://crfop.gdos.gov.pl/CRFOP/widok/viewpomnikprzyrody.jsf?fop=","PL.ZIPOP.1393.PP.1061011.5046"),"(kliknij lub Ctrl+kliknij)")</f>
        <v>(kliknij lub Ctrl+kliknij)</v>
      </c>
      <c r="H2037" s="0" t="s">
        <v>1075</v>
      </c>
    </row>
    <row r="2038" customFormat="false" ht="12.8" hidden="false" customHeight="false" outlineLevel="0" collapsed="false">
      <c r="A2038" s="1" t="s">
        <v>569</v>
      </c>
      <c r="C2038" s="3" t="s">
        <v>710</v>
      </c>
      <c r="F2038" s="6" t="s">
        <v>711</v>
      </c>
      <c r="G2038" s="7" t="str">
        <f aca="false">HYPERLINK(CONCATENATE("http://crfop.gdos.gov.pl/CRFOP/widok/viewpomnikprzyrody.jsf?fop=","PL.ZIPOP.1393.PP.1061011.5047"),"(kliknij lub Ctrl+kliknij)")</f>
        <v>(kliknij lub Ctrl+kliknij)</v>
      </c>
      <c r="H2038" s="0" t="s">
        <v>1075</v>
      </c>
    </row>
    <row r="2039" customFormat="false" ht="12.8" hidden="false" customHeight="false" outlineLevel="0" collapsed="false">
      <c r="A2039" s="1" t="s">
        <v>569</v>
      </c>
      <c r="C2039" s="3" t="s">
        <v>710</v>
      </c>
      <c r="F2039" s="6" t="s">
        <v>711</v>
      </c>
      <c r="G2039" s="7" t="str">
        <f aca="false">HYPERLINK(CONCATENATE("http://crfop.gdos.gov.pl/CRFOP/widok/viewpomnikprzyrody.jsf?fop=","PL.ZIPOP.1393.PP.1061011.5048"),"(kliknij lub Ctrl+kliknij)")</f>
        <v>(kliknij lub Ctrl+kliknij)</v>
      </c>
      <c r="H2039" s="0" t="s">
        <v>1075</v>
      </c>
    </row>
    <row r="2040" customFormat="false" ht="125.55" hidden="false" customHeight="false" outlineLevel="0" collapsed="false">
      <c r="A2040" s="1" t="s">
        <v>569</v>
      </c>
      <c r="C2040" s="3" t="s">
        <v>710</v>
      </c>
      <c r="F2040" s="10" t="s">
        <v>1113</v>
      </c>
      <c r="G2040" s="7" t="str">
        <f aca="false">HYPERLINK(CONCATENATE("http://crfop.gdos.gov.pl/CRFOP/widok/viewpomnikprzyrody.jsf?fop=","PL.ZIPOP.1393.PP.1061011.5049"),"(kliknij lub Ctrl+kliknij)")</f>
        <v>(kliknij lub Ctrl+kliknij)</v>
      </c>
      <c r="H2040" s="0" t="s">
        <v>1075</v>
      </c>
    </row>
    <row r="2041" customFormat="false" ht="12.8" hidden="false" customHeight="false" outlineLevel="0" collapsed="false">
      <c r="A2041" s="1" t="s">
        <v>569</v>
      </c>
      <c r="C2041" s="3" t="s">
        <v>713</v>
      </c>
      <c r="F2041" s="6" t="s">
        <v>714</v>
      </c>
      <c r="G2041" s="7" t="str">
        <f aca="false">HYPERLINK(CONCATENATE("http://crfop.gdos.gov.pl/CRFOP/widok/viewpomnikprzyrody.jsf?fop=","PL.ZIPOP.1393.PP.1061011.5050"),"(kliknij lub Ctrl+kliknij)")</f>
        <v>(kliknij lub Ctrl+kliknij)</v>
      </c>
      <c r="H2041" s="0" t="s">
        <v>1075</v>
      </c>
    </row>
    <row r="2042" customFormat="false" ht="12.8" hidden="false" customHeight="false" outlineLevel="0" collapsed="false">
      <c r="A2042" s="1" t="s">
        <v>569</v>
      </c>
      <c r="C2042" s="3" t="s">
        <v>713</v>
      </c>
      <c r="F2042" s="6" t="s">
        <v>714</v>
      </c>
      <c r="G2042" s="7" t="str">
        <f aca="false">HYPERLINK(CONCATENATE("http://crfop.gdos.gov.pl/CRFOP/widok/viewpomnikprzyrody.jsf?fop=","PL.ZIPOP.1393.PP.1061011.5051"),"(kliknij lub Ctrl+kliknij)")</f>
        <v>(kliknij lub Ctrl+kliknij)</v>
      </c>
      <c r="H2042" s="0" t="s">
        <v>1075</v>
      </c>
    </row>
    <row r="2043" customFormat="false" ht="136.9" hidden="false" customHeight="false" outlineLevel="0" collapsed="false">
      <c r="A2043" s="1" t="s">
        <v>569</v>
      </c>
      <c r="C2043" s="3" t="s">
        <v>713</v>
      </c>
      <c r="F2043" s="10" t="s">
        <v>1114</v>
      </c>
      <c r="G2043" s="7" t="str">
        <f aca="false">HYPERLINK(CONCATENATE("http://crfop.gdos.gov.pl/CRFOP/widok/viewpomnikprzyrody.jsf?fop=","PL.ZIPOP.1393.PP.1061011.5052"),"(kliknij lub Ctrl+kliknij)")</f>
        <v>(kliknij lub Ctrl+kliknij)</v>
      </c>
      <c r="H2043" s="0" t="s">
        <v>1075</v>
      </c>
    </row>
    <row r="2044" customFormat="false" ht="148.2" hidden="false" customHeight="false" outlineLevel="0" collapsed="false">
      <c r="A2044" s="1" t="s">
        <v>569</v>
      </c>
      <c r="C2044" s="3" t="s">
        <v>713</v>
      </c>
      <c r="F2044" s="10" t="s">
        <v>1115</v>
      </c>
      <c r="G2044" s="7" t="str">
        <f aca="false">HYPERLINK(CONCATENATE("http://crfop.gdos.gov.pl/CRFOP/widok/viewpomnikprzyrody.jsf?fop=","PL.ZIPOP.1393.PP.1061011.5054"),"(kliknij lub Ctrl+kliknij)")</f>
        <v>(kliknij lub Ctrl+kliknij)</v>
      </c>
      <c r="H2044" s="0" t="s">
        <v>1075</v>
      </c>
    </row>
    <row r="2045" customFormat="false" ht="69" hidden="false" customHeight="false" outlineLevel="0" collapsed="false">
      <c r="A2045" s="1" t="s">
        <v>569</v>
      </c>
      <c r="C2045" s="3" t="s">
        <v>1079</v>
      </c>
      <c r="F2045" s="10" t="s">
        <v>1116</v>
      </c>
      <c r="G2045" s="7" t="str">
        <f aca="false">HYPERLINK(CONCATENATE("http://crfop.gdos.gov.pl/CRFOP/widok/viewpomnikprzyrody.jsf?fop=","PL.ZIPOP.1393.PP.1061011.5055"),"(kliknij lub Ctrl+kliknij)")</f>
        <v>(kliknij lub Ctrl+kliknij)</v>
      </c>
      <c r="H2045" s="0" t="s">
        <v>1075</v>
      </c>
    </row>
    <row r="2046" customFormat="false" ht="12.8" hidden="false" customHeight="false" outlineLevel="0" collapsed="false">
      <c r="A2046" s="1" t="s">
        <v>569</v>
      </c>
      <c r="C2046" s="3" t="s">
        <v>1117</v>
      </c>
      <c r="F2046" s="6" t="s">
        <v>1118</v>
      </c>
      <c r="G2046" s="7" t="str">
        <f aca="false">HYPERLINK(CONCATENATE("http://crfop.gdos.gov.pl/CRFOP/widok/viewpomnikprzyrody.jsf?fop=","PL.ZIPOP.1393.PP.1061011.5056"),"(kliknij lub Ctrl+kliknij)")</f>
        <v>(kliknij lub Ctrl+kliknij)</v>
      </c>
      <c r="H2046" s="0" t="s">
        <v>1075</v>
      </c>
    </row>
    <row r="2047" customFormat="false" ht="91.65" hidden="false" customHeight="false" outlineLevel="0" collapsed="false">
      <c r="A2047" s="1" t="s">
        <v>569</v>
      </c>
      <c r="C2047" s="3" t="s">
        <v>1117</v>
      </c>
      <c r="F2047" s="10" t="s">
        <v>1119</v>
      </c>
      <c r="G2047" s="7" t="str">
        <f aca="false">HYPERLINK(CONCATENATE("http://crfop.gdos.gov.pl/CRFOP/widok/viewpomnikprzyrody.jsf?fop=","PL.ZIPOP.1393.PP.1061011.5057"),"(kliknij lub Ctrl+kliknij)")</f>
        <v>(kliknij lub Ctrl+kliknij)</v>
      </c>
      <c r="H2047" s="0" t="s">
        <v>1075</v>
      </c>
    </row>
    <row r="2048" customFormat="false" ht="80.35" hidden="false" customHeight="false" outlineLevel="0" collapsed="false">
      <c r="A2048" s="1" t="s">
        <v>569</v>
      </c>
      <c r="C2048" s="3" t="s">
        <v>1117</v>
      </c>
      <c r="F2048" s="10" t="s">
        <v>1120</v>
      </c>
      <c r="G2048" s="7" t="str">
        <f aca="false">HYPERLINK(CONCATENATE("http://crfop.gdos.gov.pl/CRFOP/widok/viewpomnikprzyrody.jsf?fop=","PL.ZIPOP.1393.PP.1061011.5058"),"(kliknij lub Ctrl+kliknij)")</f>
        <v>(kliknij lub Ctrl+kliknij)</v>
      </c>
      <c r="H2048" s="0" t="s">
        <v>1075</v>
      </c>
    </row>
    <row r="2049" customFormat="false" ht="80.35" hidden="false" customHeight="false" outlineLevel="0" collapsed="false">
      <c r="A2049" s="1" t="s">
        <v>569</v>
      </c>
      <c r="C2049" s="3" t="s">
        <v>1117</v>
      </c>
      <c r="F2049" s="10" t="s">
        <v>1120</v>
      </c>
      <c r="G2049" s="7" t="str">
        <f aca="false">HYPERLINK(CONCATENATE("http://crfop.gdos.gov.pl/CRFOP/widok/viewpomnikprzyrody.jsf?fop=","PL.ZIPOP.1393.PP.1061011.5059"),"(kliknij lub Ctrl+kliknij)")</f>
        <v>(kliknij lub Ctrl+kliknij)</v>
      </c>
      <c r="H2049" s="0" t="s">
        <v>1075</v>
      </c>
    </row>
    <row r="2050" customFormat="false" ht="80.35" hidden="false" customHeight="false" outlineLevel="0" collapsed="false">
      <c r="A2050" s="1" t="s">
        <v>569</v>
      </c>
      <c r="C2050" s="3" t="s">
        <v>1117</v>
      </c>
      <c r="F2050" s="10" t="s">
        <v>1120</v>
      </c>
      <c r="G2050" s="7" t="str">
        <f aca="false">HYPERLINK(CONCATENATE("http://crfop.gdos.gov.pl/CRFOP/widok/viewpomnikprzyrody.jsf?fop=","PL.ZIPOP.1393.PP.1061011.5060"),"(kliknij lub Ctrl+kliknij)")</f>
        <v>(kliknij lub Ctrl+kliknij)</v>
      </c>
      <c r="H2050" s="0" t="s">
        <v>1075</v>
      </c>
    </row>
    <row r="2051" customFormat="false" ht="80.35" hidden="false" customHeight="false" outlineLevel="0" collapsed="false">
      <c r="A2051" s="1" t="s">
        <v>569</v>
      </c>
      <c r="C2051" s="3" t="s">
        <v>1117</v>
      </c>
      <c r="F2051" s="10" t="s">
        <v>1120</v>
      </c>
      <c r="G2051" s="7" t="str">
        <f aca="false">HYPERLINK(CONCATENATE("http://crfop.gdos.gov.pl/CRFOP/widok/viewpomnikprzyrody.jsf?fop=","PL.ZIPOP.1393.PP.1061011.5061"),"(kliknij lub Ctrl+kliknij)")</f>
        <v>(kliknij lub Ctrl+kliknij)</v>
      </c>
      <c r="H2051" s="0" t="s">
        <v>1075</v>
      </c>
    </row>
    <row r="2052" customFormat="false" ht="69" hidden="false" customHeight="false" outlineLevel="0" collapsed="false">
      <c r="A2052" s="1" t="s">
        <v>569</v>
      </c>
      <c r="C2052" s="3" t="s">
        <v>805</v>
      </c>
      <c r="F2052" s="10" t="s">
        <v>806</v>
      </c>
      <c r="G2052" s="7" t="str">
        <f aca="false">HYPERLINK(CONCATENATE("http://crfop.gdos.gov.pl/CRFOP/widok/viewpomnikprzyrody.jsf?fop=","PL.ZIPOP.1393.PP.1012042.5062"),"(kliknij lub Ctrl+kliknij)")</f>
        <v>(kliknij lub Ctrl+kliknij)</v>
      </c>
      <c r="H2052" s="0" t="s">
        <v>807</v>
      </c>
    </row>
    <row r="2053" customFormat="false" ht="80.35" hidden="false" customHeight="false" outlineLevel="0" collapsed="false">
      <c r="A2053" s="1" t="s">
        <v>569</v>
      </c>
      <c r="C2053" s="3" t="s">
        <v>1085</v>
      </c>
      <c r="F2053" s="10" t="s">
        <v>1086</v>
      </c>
      <c r="G2053" s="7" t="str">
        <f aca="false">HYPERLINK(CONCATENATE("http://crfop.gdos.gov.pl/CRFOP/widok/viewpomnikprzyrody.jsf?fop=","PL.ZIPOP.1393.PP.1061011.5063"),"(kliknij lub Ctrl+kliknij)")</f>
        <v>(kliknij lub Ctrl+kliknij)</v>
      </c>
      <c r="H2053" s="0" t="s">
        <v>1075</v>
      </c>
    </row>
    <row r="2054" customFormat="false" ht="80.35" hidden="false" customHeight="false" outlineLevel="0" collapsed="false">
      <c r="A2054" s="1" t="s">
        <v>569</v>
      </c>
      <c r="C2054" s="3" t="s">
        <v>1085</v>
      </c>
      <c r="F2054" s="10" t="s">
        <v>1086</v>
      </c>
      <c r="G2054" s="7" t="str">
        <f aca="false">HYPERLINK(CONCATENATE("http://crfop.gdos.gov.pl/CRFOP/widok/viewpomnikprzyrody.jsf?fop=","PL.ZIPOP.1393.PP.1061011.5064"),"(kliknij lub Ctrl+kliknij)")</f>
        <v>(kliknij lub Ctrl+kliknij)</v>
      </c>
      <c r="H2054" s="0" t="s">
        <v>1075</v>
      </c>
    </row>
    <row r="2055" customFormat="false" ht="80.35" hidden="false" customHeight="false" outlineLevel="0" collapsed="false">
      <c r="A2055" s="1" t="s">
        <v>569</v>
      </c>
      <c r="C2055" s="3" t="s">
        <v>1121</v>
      </c>
      <c r="F2055" s="10" t="s">
        <v>1122</v>
      </c>
      <c r="G2055" s="7" t="str">
        <f aca="false">HYPERLINK(CONCATENATE("http://crfop.gdos.gov.pl/CRFOP/widok/viewpomnikprzyrody.jsf?fop=","PL.ZIPOP.1393.PP.1061011.5065"),"(kliknij lub Ctrl+kliknij)")</f>
        <v>(kliknij lub Ctrl+kliknij)</v>
      </c>
      <c r="H2055" s="0" t="s">
        <v>1075</v>
      </c>
    </row>
    <row r="2056" customFormat="false" ht="80.35" hidden="false" customHeight="false" outlineLevel="0" collapsed="false">
      <c r="A2056" s="1" t="s">
        <v>569</v>
      </c>
      <c r="C2056" s="3" t="s">
        <v>1121</v>
      </c>
      <c r="F2056" s="10" t="s">
        <v>1122</v>
      </c>
      <c r="G2056" s="7" t="str">
        <f aca="false">HYPERLINK(CONCATENATE("http://crfop.gdos.gov.pl/CRFOP/widok/viewpomnikprzyrody.jsf?fop=","PL.ZIPOP.1393.PP.1061011.5066"),"(kliknij lub Ctrl+kliknij)")</f>
        <v>(kliknij lub Ctrl+kliknij)</v>
      </c>
      <c r="H2056" s="0" t="s">
        <v>1075</v>
      </c>
    </row>
    <row r="2057" customFormat="false" ht="12.8" hidden="false" customHeight="false" outlineLevel="0" collapsed="false">
      <c r="A2057" s="1" t="s">
        <v>569</v>
      </c>
      <c r="C2057" s="3" t="s">
        <v>1121</v>
      </c>
      <c r="F2057" s="6" t="s">
        <v>1122</v>
      </c>
      <c r="G2057" s="7" t="str">
        <f aca="false">HYPERLINK(CONCATENATE("http://crfop.gdos.gov.pl/CRFOP/widok/viewpomnikprzyrody.jsf?fop=","PL.ZIPOP.1393.PP.1061011.5067"),"(kliknij lub Ctrl+kliknij)")</f>
        <v>(kliknij lub Ctrl+kliknij)</v>
      </c>
      <c r="H2057" s="0" t="s">
        <v>1075</v>
      </c>
    </row>
    <row r="2058" customFormat="false" ht="80.35" hidden="false" customHeight="false" outlineLevel="0" collapsed="false">
      <c r="A2058" s="1" t="s">
        <v>569</v>
      </c>
      <c r="C2058" s="3" t="s">
        <v>1121</v>
      </c>
      <c r="F2058" s="10" t="s">
        <v>1122</v>
      </c>
      <c r="G2058" s="7" t="str">
        <f aca="false">HYPERLINK(CONCATENATE("http://crfop.gdos.gov.pl/CRFOP/widok/viewpomnikprzyrody.jsf?fop=","PL.ZIPOP.1393.PP.1061011.5068"),"(kliknij lub Ctrl+kliknij)")</f>
        <v>(kliknij lub Ctrl+kliknij)</v>
      </c>
      <c r="H2058" s="0" t="s">
        <v>1075</v>
      </c>
    </row>
    <row r="2059" customFormat="false" ht="80.35" hidden="false" customHeight="false" outlineLevel="0" collapsed="false">
      <c r="A2059" s="1" t="s">
        <v>569</v>
      </c>
      <c r="C2059" s="3" t="s">
        <v>1121</v>
      </c>
      <c r="F2059" s="10" t="s">
        <v>1122</v>
      </c>
      <c r="G2059" s="7" t="str">
        <f aca="false">HYPERLINK(CONCATENATE("http://crfop.gdos.gov.pl/CRFOP/widok/viewpomnikprzyrody.jsf?fop=","PL.ZIPOP.1393.PP.1061011.5069"),"(kliknij lub Ctrl+kliknij)")</f>
        <v>(kliknij lub Ctrl+kliknij)</v>
      </c>
      <c r="H2059" s="0" t="s">
        <v>1075</v>
      </c>
    </row>
    <row r="2060" customFormat="false" ht="80.35" hidden="false" customHeight="false" outlineLevel="0" collapsed="false">
      <c r="A2060" s="1" t="s">
        <v>569</v>
      </c>
      <c r="C2060" s="3" t="s">
        <v>1121</v>
      </c>
      <c r="F2060" s="10" t="s">
        <v>1122</v>
      </c>
      <c r="G2060" s="7" t="str">
        <f aca="false">HYPERLINK(CONCATENATE("http://crfop.gdos.gov.pl/CRFOP/widok/viewpomnikprzyrody.jsf?fop=","PL.ZIPOP.1393.PP.1061011.5070"),"(kliknij lub Ctrl+kliknij)")</f>
        <v>(kliknij lub Ctrl+kliknij)</v>
      </c>
      <c r="H2060" s="0" t="s">
        <v>1075</v>
      </c>
    </row>
    <row r="2061" customFormat="false" ht="80.35" hidden="false" customHeight="false" outlineLevel="0" collapsed="false">
      <c r="A2061" s="1" t="s">
        <v>569</v>
      </c>
      <c r="C2061" s="3" t="s">
        <v>1121</v>
      </c>
      <c r="F2061" s="10" t="s">
        <v>1122</v>
      </c>
      <c r="G2061" s="7" t="str">
        <f aca="false">HYPERLINK(CONCATENATE("http://crfop.gdos.gov.pl/CRFOP/widok/viewpomnikprzyrody.jsf?fop=","PL.ZIPOP.1393.PP.1061011.5071"),"(kliknij lub Ctrl+kliknij)")</f>
        <v>(kliknij lub Ctrl+kliknij)</v>
      </c>
      <c r="H2061" s="0" t="s">
        <v>1075</v>
      </c>
    </row>
    <row r="2062" customFormat="false" ht="114.25" hidden="false" customHeight="false" outlineLevel="0" collapsed="false">
      <c r="A2062" s="1" t="s">
        <v>569</v>
      </c>
      <c r="C2062" s="3" t="s">
        <v>710</v>
      </c>
      <c r="F2062" s="10" t="s">
        <v>711</v>
      </c>
      <c r="G2062" s="7" t="str">
        <f aca="false">HYPERLINK(CONCATENATE("http://crfop.gdos.gov.pl/CRFOP/widok/viewpomnikprzyrody.jsf?fop=","PL.ZIPOP.1393.PP.1061011.5072"),"(kliknij lub Ctrl+kliknij)")</f>
        <v>(kliknij lub Ctrl+kliknij)</v>
      </c>
      <c r="H2062" s="0" t="s">
        <v>1075</v>
      </c>
    </row>
    <row r="2063" customFormat="false" ht="114.25" hidden="false" customHeight="false" outlineLevel="0" collapsed="false">
      <c r="A2063" s="1" t="s">
        <v>569</v>
      </c>
      <c r="C2063" s="3" t="s">
        <v>710</v>
      </c>
      <c r="F2063" s="10" t="s">
        <v>711</v>
      </c>
      <c r="G2063" s="7" t="str">
        <f aca="false">HYPERLINK(CONCATENATE("http://crfop.gdos.gov.pl/CRFOP/widok/viewpomnikprzyrody.jsf?fop=","PL.ZIPOP.1393.PP.1061011.5073"),"(kliknij lub Ctrl+kliknij)")</f>
        <v>(kliknij lub Ctrl+kliknij)</v>
      </c>
      <c r="H2063" s="0" t="s">
        <v>1075</v>
      </c>
    </row>
    <row r="2064" customFormat="false" ht="12.8" hidden="false" customHeight="false" outlineLevel="0" collapsed="false">
      <c r="A2064" s="1" t="s">
        <v>569</v>
      </c>
      <c r="C2064" s="3" t="s">
        <v>713</v>
      </c>
      <c r="F2064" s="6" t="s">
        <v>714</v>
      </c>
      <c r="G2064" s="7" t="str">
        <f aca="false">HYPERLINK(CONCATENATE("http://crfop.gdos.gov.pl/CRFOP/widok/viewpomnikprzyrody.jsf?fop=","PL.ZIPOP.1393.PP.1061011.5074"),"(kliknij lub Ctrl+kliknij)")</f>
        <v>(kliknij lub Ctrl+kliknij)</v>
      </c>
      <c r="H2064" s="0" t="s">
        <v>1075</v>
      </c>
    </row>
    <row r="2065" customFormat="false" ht="69" hidden="false" customHeight="false" outlineLevel="0" collapsed="false">
      <c r="A2065" s="1" t="s">
        <v>569</v>
      </c>
      <c r="C2065" s="3" t="s">
        <v>723</v>
      </c>
      <c r="F2065" s="10" t="s">
        <v>1123</v>
      </c>
      <c r="G2065" s="7" t="str">
        <f aca="false">HYPERLINK(CONCATENATE("http://crfop.gdos.gov.pl/CRFOP/widok/viewpomnikprzyrody.jsf?fop=","PL.ZIPOP.1393.PP.1007062.5075"),"(kliknij lub Ctrl+kliknij)")</f>
        <v>(kliknij lub Ctrl+kliknij)</v>
      </c>
      <c r="H2065" s="0" t="s">
        <v>727</v>
      </c>
    </row>
    <row r="2066" customFormat="false" ht="69" hidden="false" customHeight="false" outlineLevel="0" collapsed="false">
      <c r="A2066" s="1" t="s">
        <v>569</v>
      </c>
      <c r="C2066" s="3" t="s">
        <v>671</v>
      </c>
      <c r="F2066" s="10" t="s">
        <v>672</v>
      </c>
      <c r="G2066" s="7" t="str">
        <f aca="false">HYPERLINK(CONCATENATE("http://crfop.gdos.gov.pl/CRFOP/widok/viewpomnikprzyrody.jsf?fop=","PL.ZIPOP.1393.PP.1002011.5077"),"(kliknij lub Ctrl+kliknij)")</f>
        <v>(kliknij lub Ctrl+kliknij)</v>
      </c>
      <c r="H2066" s="0" t="s">
        <v>599</v>
      </c>
    </row>
    <row r="2067" customFormat="false" ht="69" hidden="false" customHeight="false" outlineLevel="0" collapsed="false">
      <c r="A2067" s="1" t="s">
        <v>569</v>
      </c>
      <c r="C2067" s="3" t="s">
        <v>1124</v>
      </c>
      <c r="F2067" s="10" t="s">
        <v>1125</v>
      </c>
      <c r="G2067" s="7" t="str">
        <f aca="false">HYPERLINK(CONCATENATE("http://crfop.gdos.gov.pl/CRFOP/widok/viewpomnikprzyrody.jsf?fop=","PL.ZIPOP.1393.PP.1004042.5078"),"(kliknij lub Ctrl+kliknij)")</f>
        <v>(kliknij lub Ctrl+kliknij)</v>
      </c>
      <c r="H2067" s="0" t="s">
        <v>669</v>
      </c>
    </row>
    <row r="2068" customFormat="false" ht="80.35" hidden="false" customHeight="false" outlineLevel="0" collapsed="false">
      <c r="A2068" s="1" t="s">
        <v>569</v>
      </c>
      <c r="C2068" s="3" t="s">
        <v>1126</v>
      </c>
      <c r="F2068" s="10" t="s">
        <v>1127</v>
      </c>
      <c r="G2068" s="7" t="str">
        <f aca="false">HYPERLINK(CONCATENATE("http://crfop.gdos.gov.pl/CRFOP/widok/viewpomnikprzyrody.jsf?fop=","PL.ZIPOP.1393.PP.1061011.5079"),"(kliknij lub Ctrl+kliknij)")</f>
        <v>(kliknij lub Ctrl+kliknij)</v>
      </c>
      <c r="H2068" s="0" t="s">
        <v>1075</v>
      </c>
    </row>
    <row r="2069" customFormat="false" ht="91.65" hidden="false" customHeight="false" outlineLevel="0" collapsed="false">
      <c r="A2069" s="1" t="s">
        <v>569</v>
      </c>
      <c r="B2069" s="2" t="s">
        <v>1128</v>
      </c>
      <c r="C2069" s="3" t="s">
        <v>1129</v>
      </c>
      <c r="F2069" s="10" t="s">
        <v>1130</v>
      </c>
      <c r="G2069" s="7" t="str">
        <f aca="false">HYPERLINK(CONCATENATE("http://crfop.gdos.gov.pl/CRFOP/widok/viewpomnikprzyrody.jsf?fop=","PL.ZIPOP.1393.PP.1017072.5080"),"(kliknij lub Ctrl+kliknij)")</f>
        <v>(kliknij lub Ctrl+kliknij)</v>
      </c>
      <c r="H2069" s="0" t="s">
        <v>958</v>
      </c>
    </row>
    <row r="2070" customFormat="false" ht="69" hidden="false" customHeight="false" outlineLevel="0" collapsed="false">
      <c r="A2070" s="1" t="s">
        <v>569</v>
      </c>
      <c r="B2070" s="2" t="s">
        <v>1131</v>
      </c>
      <c r="C2070" s="3" t="s">
        <v>1132</v>
      </c>
      <c r="F2070" s="10" t="s">
        <v>1133</v>
      </c>
      <c r="G2070" s="7" t="str">
        <f aca="false">HYPERLINK(CONCATENATE("http://crfop.gdos.gov.pl/CRFOP/widok/viewpomnikprzyrody.jsf?fop=","PL.ZIPOP.1393.PP.1017072.5087"),"(kliknij lub Ctrl+kliknij)")</f>
        <v>(kliknij lub Ctrl+kliknij)</v>
      </c>
      <c r="H2070" s="0" t="s">
        <v>958</v>
      </c>
    </row>
    <row r="2071" customFormat="false" ht="69" hidden="false" customHeight="false" outlineLevel="0" collapsed="false">
      <c r="A2071" s="1" t="s">
        <v>569</v>
      </c>
      <c r="B2071" s="2" t="s">
        <v>1134</v>
      </c>
      <c r="C2071" s="3" t="s">
        <v>1132</v>
      </c>
      <c r="F2071" s="10" t="s">
        <v>1135</v>
      </c>
      <c r="G2071" s="7" t="str">
        <f aca="false">HYPERLINK(CONCATENATE("http://crfop.gdos.gov.pl/CRFOP/widok/viewpomnikprzyrody.jsf?fop=","PL.ZIPOP.1393.PP.1017072.5088"),"(kliknij lub Ctrl+kliknij)")</f>
        <v>(kliknij lub Ctrl+kliknij)</v>
      </c>
      <c r="H2071" s="0" t="s">
        <v>958</v>
      </c>
    </row>
    <row r="2072" customFormat="false" ht="69" hidden="false" customHeight="false" outlineLevel="0" collapsed="false">
      <c r="A2072" s="1" t="s">
        <v>569</v>
      </c>
      <c r="B2072" s="2" t="s">
        <v>1136</v>
      </c>
      <c r="C2072" s="3" t="s">
        <v>1132</v>
      </c>
      <c r="F2072" s="10" t="s">
        <v>1135</v>
      </c>
      <c r="G2072" s="7" t="str">
        <f aca="false">HYPERLINK(CONCATENATE("http://crfop.gdos.gov.pl/CRFOP/widok/viewpomnikprzyrody.jsf?fop=","PL.ZIPOP.1393.PP.1017072.5089"),"(kliknij lub Ctrl+kliknij)")</f>
        <v>(kliknij lub Ctrl+kliknij)</v>
      </c>
      <c r="H2072" s="0" t="s">
        <v>958</v>
      </c>
    </row>
    <row r="2073" customFormat="false" ht="69" hidden="false" customHeight="false" outlineLevel="0" collapsed="false">
      <c r="A2073" s="1" t="s">
        <v>569</v>
      </c>
      <c r="B2073" s="2" t="s">
        <v>1137</v>
      </c>
      <c r="C2073" s="3" t="s">
        <v>1132</v>
      </c>
      <c r="F2073" s="10" t="s">
        <v>1138</v>
      </c>
      <c r="G2073" s="7" t="str">
        <f aca="false">HYPERLINK(CONCATENATE("http://crfop.gdos.gov.pl/CRFOP/widok/viewpomnikprzyrody.jsf?fop=","PL.ZIPOP.1393.PP.1017072.5090"),"(kliknij lub Ctrl+kliknij)")</f>
        <v>(kliknij lub Ctrl+kliknij)</v>
      </c>
      <c r="H2073" s="0" t="s">
        <v>958</v>
      </c>
    </row>
    <row r="2074" customFormat="false" ht="69" hidden="false" customHeight="false" outlineLevel="0" collapsed="false">
      <c r="A2074" s="1" t="s">
        <v>569</v>
      </c>
      <c r="C2074" s="3" t="s">
        <v>584</v>
      </c>
      <c r="F2074" s="10" t="s">
        <v>779</v>
      </c>
      <c r="G2074" s="7" t="str">
        <f aca="false">HYPERLINK(CONCATENATE("http://crfop.gdos.gov.pl/CRFOP/widok/viewpomnikprzyrody.jsf?fop=","PL.ZIPOP.1393.PP.1011012.5100"),"(kliknij lub Ctrl+kliknij)")</f>
        <v>(kliknij lub Ctrl+kliknij)</v>
      </c>
      <c r="H2074" s="0" t="s">
        <v>780</v>
      </c>
    </row>
    <row r="2075" customFormat="false" ht="80.35" hidden="false" customHeight="false" outlineLevel="0" collapsed="false">
      <c r="A2075" s="1" t="s">
        <v>569</v>
      </c>
      <c r="C2075" s="3" t="s">
        <v>684</v>
      </c>
      <c r="F2075" s="10" t="s">
        <v>685</v>
      </c>
      <c r="G2075" s="7" t="str">
        <f aca="false">HYPERLINK(CONCATENATE("http://crfop.gdos.gov.pl/CRFOP/widok/viewpomnikprzyrody.jsf?fop=","PL.ZIPOP.1393.PP.1005062.5101"),"(kliknij lub Ctrl+kliknij)")</f>
        <v>(kliknij lub Ctrl+kliknij)</v>
      </c>
      <c r="H2075" s="0" t="s">
        <v>1139</v>
      </c>
    </row>
    <row r="2076" customFormat="false" ht="80.35" hidden="false" customHeight="false" outlineLevel="0" collapsed="false">
      <c r="A2076" s="1" t="s">
        <v>569</v>
      </c>
      <c r="C2076" s="3" t="s">
        <v>684</v>
      </c>
      <c r="F2076" s="10" t="s">
        <v>685</v>
      </c>
      <c r="G2076" s="7" t="str">
        <f aca="false">HYPERLINK(CONCATENATE("http://crfop.gdos.gov.pl/CRFOP/widok/viewpomnikprzyrody.jsf?fop=","PL.ZIPOP.1393.PP.1005062.5102"),"(kliknij lub Ctrl+kliknij)")</f>
        <v>(kliknij lub Ctrl+kliknij)</v>
      </c>
      <c r="H2076" s="0" t="s">
        <v>1139</v>
      </c>
    </row>
    <row r="2077" customFormat="false" ht="12.8" hidden="false" customHeight="false" outlineLevel="0" collapsed="false">
      <c r="A2077" s="1" t="s">
        <v>569</v>
      </c>
      <c r="C2077" s="3" t="s">
        <v>570</v>
      </c>
      <c r="F2077" s="6" t="s">
        <v>572</v>
      </c>
      <c r="G2077" s="7" t="str">
        <f aca="false">HYPERLINK(CONCATENATE("http://crfop.gdos.gov.pl/CRFOP/widok/viewpomnikprzyrody.jsf?fop=","PL.ZIPOP.1393.PP.1008032.5103"),"(kliknij lub Ctrl+kliknij)")</f>
        <v>(kliknij lub Ctrl+kliknij)</v>
      </c>
      <c r="H2077" s="0" t="s">
        <v>738</v>
      </c>
    </row>
    <row r="2078" customFormat="false" ht="102.95" hidden="false" customHeight="false" outlineLevel="0" collapsed="false">
      <c r="A2078" s="1" t="s">
        <v>569</v>
      </c>
      <c r="C2078" s="3" t="s">
        <v>1140</v>
      </c>
      <c r="F2078" s="10" t="s">
        <v>1141</v>
      </c>
      <c r="G2078" s="7" t="str">
        <f aca="false">HYPERLINK(CONCATENATE("http://crfop.gdos.gov.pl/CRFOP/widok/viewpomnikprzyrody.jsf?fop=","PL.ZIPOP.1393.PP.1015082.5104"),"(kliknij lub Ctrl+kliknij)")</f>
        <v>(kliknij lub Ctrl+kliknij)</v>
      </c>
      <c r="H2078" s="0" t="s">
        <v>895</v>
      </c>
    </row>
    <row r="2079" customFormat="false" ht="12.8" hidden="false" customHeight="false" outlineLevel="0" collapsed="false">
      <c r="A2079" s="1" t="s">
        <v>569</v>
      </c>
      <c r="C2079" s="3" t="s">
        <v>1142</v>
      </c>
      <c r="F2079" s="6" t="s">
        <v>1143</v>
      </c>
      <c r="G2079" s="7" t="str">
        <f aca="false">HYPERLINK(CONCATENATE("http://crfop.gdos.gov.pl/CRFOP/widok/viewpomnikprzyrody.jsf?fop=","PL.ZIPOP.1393.PP.1061011.5105"),"(kliknij lub Ctrl+kliknij)")</f>
        <v>(kliknij lub Ctrl+kliknij)</v>
      </c>
      <c r="H2079" s="0" t="s">
        <v>1075</v>
      </c>
    </row>
    <row r="2080" customFormat="false" ht="80.35" hidden="false" customHeight="false" outlineLevel="0" collapsed="false">
      <c r="A2080" s="1" t="s">
        <v>569</v>
      </c>
      <c r="C2080" s="3" t="s">
        <v>1142</v>
      </c>
      <c r="F2080" s="10" t="s">
        <v>1143</v>
      </c>
      <c r="G2080" s="7" t="str">
        <f aca="false">HYPERLINK(CONCATENATE("http://crfop.gdos.gov.pl/CRFOP/widok/viewpomnikprzyrody.jsf?fop=","PL.ZIPOP.1393.PP.1061011.5106"),"(kliknij lub Ctrl+kliknij)")</f>
        <v>(kliknij lub Ctrl+kliknij)</v>
      </c>
      <c r="H2080" s="0" t="s">
        <v>1075</v>
      </c>
    </row>
    <row r="2081" customFormat="false" ht="12.8" hidden="false" customHeight="false" outlineLevel="0" collapsed="false">
      <c r="A2081" s="1" t="s">
        <v>569</v>
      </c>
      <c r="C2081" s="3" t="s">
        <v>1142</v>
      </c>
      <c r="F2081" s="6" t="s">
        <v>1143</v>
      </c>
      <c r="G2081" s="7" t="str">
        <f aca="false">HYPERLINK(CONCATENATE("http://crfop.gdos.gov.pl/CRFOP/widok/viewpomnikprzyrody.jsf?fop=","PL.ZIPOP.1393.PP.1061011.5107"),"(kliknij lub Ctrl+kliknij)")</f>
        <v>(kliknij lub Ctrl+kliknij)</v>
      </c>
      <c r="H2081" s="0" t="s">
        <v>1075</v>
      </c>
    </row>
    <row r="2082" customFormat="false" ht="12.8" hidden="false" customHeight="false" outlineLevel="0" collapsed="false">
      <c r="A2082" s="1" t="s">
        <v>569</v>
      </c>
      <c r="C2082" s="3" t="s">
        <v>1142</v>
      </c>
      <c r="F2082" s="6" t="s">
        <v>1143</v>
      </c>
      <c r="G2082" s="7" t="str">
        <f aca="false">HYPERLINK(CONCATENATE("http://crfop.gdos.gov.pl/CRFOP/widok/viewpomnikprzyrody.jsf?fop=","PL.ZIPOP.1393.PP.1061011.5108"),"(kliknij lub Ctrl+kliknij)")</f>
        <v>(kliknij lub Ctrl+kliknij)</v>
      </c>
      <c r="H2082" s="0" t="s">
        <v>1075</v>
      </c>
    </row>
    <row r="2083" customFormat="false" ht="80.35" hidden="false" customHeight="false" outlineLevel="0" collapsed="false">
      <c r="A2083" s="1" t="s">
        <v>569</v>
      </c>
      <c r="C2083" s="3" t="s">
        <v>1142</v>
      </c>
      <c r="F2083" s="10" t="s">
        <v>1143</v>
      </c>
      <c r="G2083" s="7" t="str">
        <f aca="false">HYPERLINK(CONCATENATE("http://crfop.gdos.gov.pl/CRFOP/widok/viewpomnikprzyrody.jsf?fop=","PL.ZIPOP.1393.PP.1061011.5109"),"(kliknij lub Ctrl+kliknij)")</f>
        <v>(kliknij lub Ctrl+kliknij)</v>
      </c>
      <c r="H2083" s="0" t="s">
        <v>1075</v>
      </c>
    </row>
    <row r="2084" customFormat="false" ht="80.35" hidden="false" customHeight="false" outlineLevel="0" collapsed="false">
      <c r="A2084" s="1" t="s">
        <v>569</v>
      </c>
      <c r="C2084" s="3" t="s">
        <v>1142</v>
      </c>
      <c r="F2084" s="10" t="s">
        <v>1143</v>
      </c>
      <c r="G2084" s="7" t="str">
        <f aca="false">HYPERLINK(CONCATENATE("http://crfop.gdos.gov.pl/CRFOP/widok/viewpomnikprzyrody.jsf?fop=","PL.ZIPOP.1393.PP.1061011.5110"),"(kliknij lub Ctrl+kliknij)")</f>
        <v>(kliknij lub Ctrl+kliknij)</v>
      </c>
      <c r="H2084" s="0" t="s">
        <v>1075</v>
      </c>
    </row>
    <row r="2085" customFormat="false" ht="12.8" hidden="false" customHeight="false" outlineLevel="0" collapsed="false">
      <c r="A2085" s="1" t="s">
        <v>569</v>
      </c>
      <c r="C2085" s="3" t="s">
        <v>1142</v>
      </c>
      <c r="F2085" s="6" t="s">
        <v>1143</v>
      </c>
      <c r="G2085" s="7" t="str">
        <f aca="false">HYPERLINK(CONCATENATE("http://crfop.gdos.gov.pl/CRFOP/widok/viewpomnikprzyrody.jsf?fop=","PL.ZIPOP.1393.PP.1061011.5111"),"(kliknij lub Ctrl+kliknij)")</f>
        <v>(kliknij lub Ctrl+kliknij)</v>
      </c>
      <c r="H2085" s="0" t="s">
        <v>1075</v>
      </c>
    </row>
    <row r="2086" customFormat="false" ht="12.8" hidden="false" customHeight="false" outlineLevel="0" collapsed="false">
      <c r="A2086" s="1" t="s">
        <v>569</v>
      </c>
      <c r="C2086" s="3" t="s">
        <v>1142</v>
      </c>
      <c r="F2086" s="6" t="s">
        <v>1143</v>
      </c>
      <c r="G2086" s="7" t="str">
        <f aca="false">HYPERLINK(CONCATENATE("http://crfop.gdos.gov.pl/CRFOP/widok/viewpomnikprzyrody.jsf?fop=","PL.ZIPOP.1393.PP.1061011.5112"),"(kliknij lub Ctrl+kliknij)")</f>
        <v>(kliknij lub Ctrl+kliknij)</v>
      </c>
      <c r="H2086" s="0" t="s">
        <v>1075</v>
      </c>
    </row>
    <row r="2087" customFormat="false" ht="12.8" hidden="false" customHeight="false" outlineLevel="0" collapsed="false">
      <c r="A2087" s="1" t="s">
        <v>569</v>
      </c>
      <c r="C2087" s="3" t="s">
        <v>1142</v>
      </c>
      <c r="F2087" s="6" t="s">
        <v>1143</v>
      </c>
      <c r="G2087" s="7" t="str">
        <f aca="false">HYPERLINK(CONCATENATE("http://crfop.gdos.gov.pl/CRFOP/widok/viewpomnikprzyrody.jsf?fop=","PL.ZIPOP.1393.PP.1061011.5113"),"(kliknij lub Ctrl+kliknij)")</f>
        <v>(kliknij lub Ctrl+kliknij)</v>
      </c>
      <c r="H2087" s="0" t="s">
        <v>1075</v>
      </c>
    </row>
    <row r="2088" customFormat="false" ht="80.35" hidden="false" customHeight="false" outlineLevel="0" collapsed="false">
      <c r="A2088" s="1" t="s">
        <v>569</v>
      </c>
      <c r="C2088" s="3" t="s">
        <v>1142</v>
      </c>
      <c r="F2088" s="10" t="s">
        <v>1143</v>
      </c>
      <c r="G2088" s="7" t="str">
        <f aca="false">HYPERLINK(CONCATENATE("http://crfop.gdos.gov.pl/CRFOP/widok/viewpomnikprzyrody.jsf?fop=","PL.ZIPOP.1393.PP.1061011.5114"),"(kliknij lub Ctrl+kliknij)")</f>
        <v>(kliknij lub Ctrl+kliknij)</v>
      </c>
      <c r="H2088" s="0" t="s">
        <v>1075</v>
      </c>
    </row>
    <row r="2089" customFormat="false" ht="46.4" hidden="false" customHeight="false" outlineLevel="0" collapsed="false">
      <c r="A2089" s="1" t="s">
        <v>569</v>
      </c>
      <c r="C2089" s="3" t="s">
        <v>1144</v>
      </c>
      <c r="F2089" s="10" t="s">
        <v>1145</v>
      </c>
      <c r="G2089" s="7" t="str">
        <f aca="false">HYPERLINK(CONCATENATE("http://crfop.gdos.gov.pl/CRFOP/widok/viewpomnikprzyrody.jsf?fop=","PL.ZIPOP.1393.PP.1013023.5115"),"(kliknij lub Ctrl+kliknij)")</f>
        <v>(kliknij lub Ctrl+kliknij)</v>
      </c>
      <c r="H2089" s="0" t="s">
        <v>827</v>
      </c>
    </row>
    <row r="2090" customFormat="false" ht="102.95" hidden="false" customHeight="false" outlineLevel="0" collapsed="false">
      <c r="A2090" s="1" t="s">
        <v>569</v>
      </c>
      <c r="C2090" s="3" t="s">
        <v>1146</v>
      </c>
      <c r="F2090" s="10" t="s">
        <v>1147</v>
      </c>
      <c r="G2090" s="7" t="str">
        <f aca="false">HYPERLINK(CONCATENATE("http://crfop.gdos.gov.pl/CRFOP/widok/viewpomnikprzyrody.jsf?fop=","PL.ZIPOP.1393.PP.1014082.5118"),"(kliknij lub Ctrl+kliknij)")</f>
        <v>(kliknij lub Ctrl+kliknij)</v>
      </c>
      <c r="H2090" s="0" t="s">
        <v>847</v>
      </c>
    </row>
    <row r="2091" customFormat="false" ht="69" hidden="false" customHeight="false" outlineLevel="0" collapsed="false">
      <c r="A2091" s="1" t="s">
        <v>569</v>
      </c>
      <c r="C2091" s="3" t="s">
        <v>584</v>
      </c>
      <c r="F2091" s="10" t="s">
        <v>1148</v>
      </c>
      <c r="G2091" s="7" t="str">
        <f aca="false">HYPERLINK(CONCATENATE("http://crfop.gdos.gov.pl/CRFOP/widok/viewpomnikprzyrody.jsf?fop=","PL.ZIPOP.1393.PP.1017022.5119"),"(kliknij lub Ctrl+kliknij)")</f>
        <v>(kliknij lub Ctrl+kliknij)</v>
      </c>
      <c r="H2091" s="0" t="s">
        <v>951</v>
      </c>
    </row>
    <row r="2092" customFormat="false" ht="125.55" hidden="false" customHeight="false" outlineLevel="0" collapsed="false">
      <c r="A2092" s="1" t="s">
        <v>569</v>
      </c>
      <c r="C2092" s="3" t="s">
        <v>713</v>
      </c>
      <c r="F2092" s="10" t="s">
        <v>714</v>
      </c>
      <c r="G2092" s="7" t="str">
        <f aca="false">HYPERLINK(CONCATENATE("http://crfop.gdos.gov.pl/CRFOP/widok/viewpomnikprzyrody.jsf?fop=","PL.ZIPOP.1393.PP.1006032.5122"),"(kliknij lub Ctrl+kliknij)")</f>
        <v>(kliknij lub Ctrl+kliknij)</v>
      </c>
      <c r="H2092" s="0" t="s">
        <v>712</v>
      </c>
    </row>
    <row r="2093" customFormat="false" ht="12.8" hidden="false" customHeight="false" outlineLevel="0" collapsed="false">
      <c r="A2093" s="1" t="s">
        <v>569</v>
      </c>
      <c r="C2093" s="3" t="s">
        <v>710</v>
      </c>
      <c r="F2093" s="6" t="s">
        <v>711</v>
      </c>
      <c r="G2093" s="7" t="str">
        <f aca="false">HYPERLINK(CONCATENATE("http://crfop.gdos.gov.pl/CRFOP/widok/viewpomnikprzyrody.jsf?fop=","PL.ZIPOP.1393.PP.1006032.5123"),"(kliknij lub Ctrl+kliknij)")</f>
        <v>(kliknij lub Ctrl+kliknij)</v>
      </c>
      <c r="H2093" s="0" t="s">
        <v>712</v>
      </c>
    </row>
    <row r="2094" customFormat="false" ht="12.8" hidden="false" customHeight="false" outlineLevel="0" collapsed="false">
      <c r="A2094" s="1" t="s">
        <v>569</v>
      </c>
      <c r="C2094" s="3" t="s">
        <v>710</v>
      </c>
      <c r="F2094" s="6" t="s">
        <v>711</v>
      </c>
      <c r="G2094" s="7" t="str">
        <f aca="false">HYPERLINK(CONCATENATE("http://crfop.gdos.gov.pl/CRFOP/widok/viewpomnikprzyrody.jsf?fop=","PL.ZIPOP.1393.PP.1006032.5124"),"(kliknij lub Ctrl+kliknij)")</f>
        <v>(kliknij lub Ctrl+kliknij)</v>
      </c>
      <c r="H2094" s="0" t="s">
        <v>712</v>
      </c>
    </row>
    <row r="2095" customFormat="false" ht="57.7" hidden="false" customHeight="false" outlineLevel="0" collapsed="false">
      <c r="A2095" s="1" t="s">
        <v>569</v>
      </c>
      <c r="C2095" s="3" t="s">
        <v>608</v>
      </c>
      <c r="F2095" s="10" t="s">
        <v>631</v>
      </c>
      <c r="G2095" s="7" t="str">
        <f aca="false">HYPERLINK(CONCATENATE("http://crfop.gdos.gov.pl/CRFOP/widok/viewpomnikprzyrody.jsf?fop=","PL.ZIPOP.1393.PP.1002092.5125"),"(kliknij lub Ctrl+kliknij)")</f>
        <v>(kliknij lub Ctrl+kliknij)</v>
      </c>
      <c r="H2095" s="0" t="s">
        <v>632</v>
      </c>
    </row>
    <row r="2096" customFormat="false" ht="57.7" hidden="false" customHeight="false" outlineLevel="0" collapsed="false">
      <c r="A2096" s="1" t="s">
        <v>569</v>
      </c>
      <c r="C2096" s="3" t="s">
        <v>608</v>
      </c>
      <c r="F2096" s="10" t="s">
        <v>635</v>
      </c>
      <c r="G2096" s="7" t="str">
        <f aca="false">HYPERLINK(CONCATENATE("http://crfop.gdos.gov.pl/CRFOP/widok/viewpomnikprzyrody.jsf?fop=","PL.ZIPOP.1393.PP.1002092.5126"),"(kliknij lub Ctrl+kliknij)")</f>
        <v>(kliknij lub Ctrl+kliknij)</v>
      </c>
      <c r="H2096" s="0" t="s">
        <v>632</v>
      </c>
    </row>
    <row r="2097" customFormat="false" ht="91.65" hidden="false" customHeight="false" outlineLevel="0" collapsed="false">
      <c r="A2097" s="1" t="s">
        <v>569</v>
      </c>
      <c r="C2097" s="3" t="s">
        <v>1149</v>
      </c>
      <c r="F2097" s="10" t="s">
        <v>1150</v>
      </c>
      <c r="G2097" s="7" t="str">
        <f aca="false">HYPERLINK(CONCATENATE("http://crfop.gdos.gov.pl/CRFOP/widok/viewpomnikprzyrody.jsf?fop=","PL.ZIPOP.1393.PP.1019011.5129"),"(kliknij lub Ctrl+kliknij)")</f>
        <v>(kliknij lub Ctrl+kliknij)</v>
      </c>
      <c r="H2097" s="0" t="s">
        <v>990</v>
      </c>
    </row>
    <row r="2098" customFormat="false" ht="91.65" hidden="false" customHeight="false" outlineLevel="0" collapsed="false">
      <c r="A2098" s="1" t="s">
        <v>569</v>
      </c>
      <c r="C2098" s="3" t="s">
        <v>1149</v>
      </c>
      <c r="F2098" s="10" t="s">
        <v>1151</v>
      </c>
      <c r="G2098" s="7" t="str">
        <f aca="false">HYPERLINK(CONCATENATE("http://crfop.gdos.gov.pl/CRFOP/widok/viewpomnikprzyrody.jsf?fop=","PL.ZIPOP.1393.PP.1019011.5130"),"(kliknij lub Ctrl+kliknij)")</f>
        <v>(kliknij lub Ctrl+kliknij)</v>
      </c>
      <c r="H2098" s="0" t="s">
        <v>990</v>
      </c>
    </row>
    <row r="2099" customFormat="false" ht="12.8" hidden="false" customHeight="false" outlineLevel="0" collapsed="false">
      <c r="A2099" s="1" t="s">
        <v>569</v>
      </c>
      <c r="C2099" s="3" t="s">
        <v>1149</v>
      </c>
      <c r="F2099" s="6" t="s">
        <v>1152</v>
      </c>
      <c r="G2099" s="7" t="str">
        <f aca="false">HYPERLINK(CONCATENATE("http://crfop.gdos.gov.pl/CRFOP/widok/viewpomnikprzyrody.jsf?fop=","PL.ZIPOP.1393.PP.1019011.5131"),"(kliknij lub Ctrl+kliknij)")</f>
        <v>(kliknij lub Ctrl+kliknij)</v>
      </c>
      <c r="H2099" s="0" t="s">
        <v>990</v>
      </c>
    </row>
    <row r="2100" customFormat="false" ht="12.8" hidden="false" customHeight="false" outlineLevel="0" collapsed="false">
      <c r="A2100" s="1" t="s">
        <v>569</v>
      </c>
      <c r="C2100" s="3" t="s">
        <v>1149</v>
      </c>
      <c r="F2100" s="6" t="s">
        <v>1152</v>
      </c>
      <c r="G2100" s="7" t="str">
        <f aca="false">HYPERLINK(CONCATENATE("http://crfop.gdos.gov.pl/CRFOP/widok/viewpomnikprzyrody.jsf?fop=","PL.ZIPOP.1393.PP.1019011.5132"),"(kliknij lub Ctrl+kliknij)")</f>
        <v>(kliknij lub Ctrl+kliknij)</v>
      </c>
      <c r="H2100" s="0" t="s">
        <v>990</v>
      </c>
    </row>
    <row r="2101" customFormat="false" ht="80.35" hidden="false" customHeight="false" outlineLevel="0" collapsed="false">
      <c r="A2101" s="1" t="s">
        <v>569</v>
      </c>
      <c r="C2101" s="3" t="s">
        <v>1149</v>
      </c>
      <c r="F2101" s="10" t="s">
        <v>1152</v>
      </c>
      <c r="G2101" s="7" t="str">
        <f aca="false">HYPERLINK(CONCATENATE("http://crfop.gdos.gov.pl/CRFOP/widok/viewpomnikprzyrody.jsf?fop=","PL.ZIPOP.1393.PP.1019011.5133"),"(kliknij lub Ctrl+kliknij)")</f>
        <v>(kliknij lub Ctrl+kliknij)</v>
      </c>
      <c r="H2101" s="0" t="s">
        <v>990</v>
      </c>
    </row>
    <row r="2102" customFormat="false" ht="80.35" hidden="false" customHeight="false" outlineLevel="0" collapsed="false">
      <c r="A2102" s="1" t="s">
        <v>569</v>
      </c>
      <c r="C2102" s="3" t="s">
        <v>1149</v>
      </c>
      <c r="F2102" s="10" t="s">
        <v>1152</v>
      </c>
      <c r="G2102" s="7" t="str">
        <f aca="false">HYPERLINK(CONCATENATE("http://crfop.gdos.gov.pl/CRFOP/widok/viewpomnikprzyrody.jsf?fop=","PL.ZIPOP.1393.PP.1019011.5134"),"(kliknij lub Ctrl+kliknij)")</f>
        <v>(kliknij lub Ctrl+kliknij)</v>
      </c>
      <c r="H2102" s="0" t="s">
        <v>990</v>
      </c>
    </row>
    <row r="2103" customFormat="false" ht="80.35" hidden="false" customHeight="false" outlineLevel="0" collapsed="false">
      <c r="A2103" s="1" t="s">
        <v>569</v>
      </c>
      <c r="C2103" s="3" t="s">
        <v>1149</v>
      </c>
      <c r="F2103" s="10" t="s">
        <v>1152</v>
      </c>
      <c r="G2103" s="7" t="str">
        <f aca="false">HYPERLINK(CONCATENATE("http://crfop.gdos.gov.pl/CRFOP/widok/viewpomnikprzyrody.jsf?fop=","PL.ZIPOP.1393.PP.1019011.5135"),"(kliknij lub Ctrl+kliknij)")</f>
        <v>(kliknij lub Ctrl+kliknij)</v>
      </c>
      <c r="H2103" s="0" t="s">
        <v>990</v>
      </c>
    </row>
    <row r="2104" customFormat="false" ht="159.5" hidden="false" customHeight="false" outlineLevel="0" collapsed="false">
      <c r="A2104" s="1" t="s">
        <v>569</v>
      </c>
      <c r="B2104" s="2" t="s">
        <v>1153</v>
      </c>
      <c r="C2104" s="3" t="s">
        <v>1154</v>
      </c>
      <c r="F2104" s="10" t="s">
        <v>1155</v>
      </c>
      <c r="G2104" s="7" t="str">
        <f aca="false">HYPERLINK(CONCATENATE("http://crfop.gdos.gov.pl/CRFOP/widok/viewpomnikprzyrody.jsf?fop=","PL.ZIPOP.1393.PP.1015012.5136"),"(kliknij lub Ctrl+kliknij)")</f>
        <v>(kliknij lub Ctrl+kliknij)</v>
      </c>
      <c r="H2104" s="0" t="s">
        <v>869</v>
      </c>
    </row>
    <row r="2105" customFormat="false" ht="12.8" hidden="false" customHeight="false" outlineLevel="0" collapsed="false">
      <c r="A2105" s="1" t="s">
        <v>569</v>
      </c>
      <c r="B2105" s="2" t="s">
        <v>1156</v>
      </c>
      <c r="C2105" s="3" t="s">
        <v>1157</v>
      </c>
      <c r="F2105" s="6" t="s">
        <v>1158</v>
      </c>
      <c r="G2105" s="7" t="str">
        <f aca="false">HYPERLINK(CONCATENATE("http://crfop.gdos.gov.pl/CRFOP/widok/viewpomnikprzyrody.jsf?fop=","PL.ZIPOP.1393.PP.1006113.5137"),"(kliknij lub Ctrl+kliknij)")</f>
        <v>(kliknij lub Ctrl+kliknij)</v>
      </c>
      <c r="H2105" s="0" t="s">
        <v>722</v>
      </c>
    </row>
    <row r="2106" customFormat="false" ht="12.8" hidden="false" customHeight="false" outlineLevel="0" collapsed="false">
      <c r="A2106" s="1" t="s">
        <v>569</v>
      </c>
      <c r="B2106" s="2" t="s">
        <v>580</v>
      </c>
      <c r="C2106" s="3" t="s">
        <v>1157</v>
      </c>
      <c r="F2106" s="6" t="s">
        <v>1159</v>
      </c>
      <c r="G2106" s="7" t="str">
        <f aca="false">HYPERLINK(CONCATENATE("http://crfop.gdos.gov.pl/CRFOP/widok/viewpomnikprzyrody.jsf?fop=","PL.ZIPOP.1393.PP.1006113.5138"),"(kliknij lub Ctrl+kliknij)")</f>
        <v>(kliknij lub Ctrl+kliknij)</v>
      </c>
      <c r="H2106" s="0" t="s">
        <v>722</v>
      </c>
    </row>
    <row r="2107" customFormat="false" ht="12.8" hidden="false" customHeight="false" outlineLevel="0" collapsed="false">
      <c r="A2107" s="1" t="s">
        <v>569</v>
      </c>
      <c r="C2107" s="3" t="s">
        <v>1160</v>
      </c>
      <c r="F2107" s="6" t="s">
        <v>1161</v>
      </c>
      <c r="G2107" s="7" t="str">
        <f aca="false">HYPERLINK(CONCATENATE("http://crfop.gdos.gov.pl/CRFOP/widok/viewpomnikprzyrody.jsf?fop=","PL.ZIPOP.1393.PP.1017102.5139"),"(kliknij lub Ctrl+kliknij)")</f>
        <v>(kliknij lub Ctrl+kliknij)</v>
      </c>
      <c r="H2107" s="0" t="s">
        <v>963</v>
      </c>
    </row>
    <row r="2108" customFormat="false" ht="12.8" hidden="false" customHeight="false" outlineLevel="0" collapsed="false">
      <c r="A2108" s="1" t="s">
        <v>569</v>
      </c>
      <c r="C2108" s="3" t="s">
        <v>1162</v>
      </c>
      <c r="F2108" s="6" t="s">
        <v>1163</v>
      </c>
      <c r="G2108" s="7" t="str">
        <f aca="false">HYPERLINK(CONCATENATE("http://crfop.gdos.gov.pl/CRFOP/widok/viewpomnikprzyrody.jsf?fop=","PL.ZIPOP.1393.PP.1009082.5140"),"(kliknij lub Ctrl+kliknij)")</f>
        <v>(kliknij lub Ctrl+kliknij)</v>
      </c>
      <c r="H2108" s="0" t="s">
        <v>1164</v>
      </c>
    </row>
    <row r="2109" customFormat="false" ht="102.95" hidden="false" customHeight="false" outlineLevel="0" collapsed="false">
      <c r="A2109" s="1" t="s">
        <v>569</v>
      </c>
      <c r="C2109" s="3" t="s">
        <v>1162</v>
      </c>
      <c r="F2109" s="10" t="s">
        <v>1163</v>
      </c>
      <c r="G2109" s="7" t="str">
        <f aca="false">HYPERLINK(CONCATENATE("http://crfop.gdos.gov.pl/CRFOP/widok/viewpomnikprzyrody.jsf?fop=","PL.ZIPOP.1393.PP.1009082.5141"),"(kliknij lub Ctrl+kliknij)")</f>
        <v>(kliknij lub Ctrl+kliknij)</v>
      </c>
      <c r="H2109" s="0" t="s">
        <v>1164</v>
      </c>
    </row>
    <row r="2110" customFormat="false" ht="102.95" hidden="false" customHeight="false" outlineLevel="0" collapsed="false">
      <c r="A2110" s="1" t="s">
        <v>569</v>
      </c>
      <c r="C2110" s="3" t="s">
        <v>1162</v>
      </c>
      <c r="F2110" s="10" t="s">
        <v>1163</v>
      </c>
      <c r="G2110" s="7" t="str">
        <f aca="false">HYPERLINK(CONCATENATE("http://crfop.gdos.gov.pl/CRFOP/widok/viewpomnikprzyrody.jsf?fop=","PL.ZIPOP.1393.PP.1009082.5142"),"(kliknij lub Ctrl+kliknij)")</f>
        <v>(kliknij lub Ctrl+kliknij)</v>
      </c>
      <c r="H2110" s="0" t="s">
        <v>1164</v>
      </c>
    </row>
    <row r="2111" customFormat="false" ht="80.35" hidden="false" customHeight="false" outlineLevel="0" collapsed="false">
      <c r="A2111" s="1" t="s">
        <v>569</v>
      </c>
      <c r="C2111" s="3" t="s">
        <v>1165</v>
      </c>
      <c r="F2111" s="10" t="s">
        <v>1166</v>
      </c>
      <c r="G2111" s="7" t="str">
        <f aca="false">HYPERLINK(CONCATENATE("http://crfop.gdos.gov.pl/CRFOP/widok/viewpomnikprzyrody.jsf?fop=","PL.ZIPOP.1393.PP.1017072.5145"),"(kliknij lub Ctrl+kliknij)")</f>
        <v>(kliknij lub Ctrl+kliknij)</v>
      </c>
      <c r="H2111" s="0" t="s">
        <v>958</v>
      </c>
    </row>
    <row r="2112" customFormat="false" ht="80.35" hidden="false" customHeight="false" outlineLevel="0" collapsed="false">
      <c r="A2112" s="1" t="s">
        <v>569</v>
      </c>
      <c r="C2112" s="3" t="s">
        <v>1165</v>
      </c>
      <c r="F2112" s="10" t="s">
        <v>1166</v>
      </c>
      <c r="G2112" s="7" t="str">
        <f aca="false">HYPERLINK(CONCATENATE("http://crfop.gdos.gov.pl/CRFOP/widok/viewpomnikprzyrody.jsf?fop=","PL.ZIPOP.1393.PP.1017072.5146"),"(kliknij lub Ctrl+kliknij)")</f>
        <v>(kliknij lub Ctrl+kliknij)</v>
      </c>
      <c r="H2112" s="0" t="s">
        <v>958</v>
      </c>
    </row>
    <row r="2113" customFormat="false" ht="80.35" hidden="false" customHeight="false" outlineLevel="0" collapsed="false">
      <c r="A2113" s="1" t="s">
        <v>569</v>
      </c>
      <c r="C2113" s="3" t="s">
        <v>1165</v>
      </c>
      <c r="F2113" s="10" t="s">
        <v>1166</v>
      </c>
      <c r="G2113" s="7" t="str">
        <f aca="false">HYPERLINK(CONCATENATE("http://crfop.gdos.gov.pl/CRFOP/widok/viewpomnikprzyrody.jsf?fop=","PL.ZIPOP.1393.PP.1017072.5147"),"(kliknij lub Ctrl+kliknij)")</f>
        <v>(kliknij lub Ctrl+kliknij)</v>
      </c>
      <c r="H2113" s="0" t="s">
        <v>958</v>
      </c>
    </row>
    <row r="2114" customFormat="false" ht="80.35" hidden="false" customHeight="false" outlineLevel="0" collapsed="false">
      <c r="A2114" s="1" t="s">
        <v>569</v>
      </c>
      <c r="C2114" s="3" t="s">
        <v>1165</v>
      </c>
      <c r="F2114" s="10" t="s">
        <v>1166</v>
      </c>
      <c r="G2114" s="7" t="str">
        <f aca="false">HYPERLINK(CONCATENATE("http://crfop.gdos.gov.pl/CRFOP/widok/viewpomnikprzyrody.jsf?fop=","PL.ZIPOP.1393.PP.1017072.5148"),"(kliknij lub Ctrl+kliknij)")</f>
        <v>(kliknij lub Ctrl+kliknij)</v>
      </c>
      <c r="H2114" s="0" t="s">
        <v>958</v>
      </c>
    </row>
    <row r="2115" customFormat="false" ht="80.35" hidden="false" customHeight="false" outlineLevel="0" collapsed="false">
      <c r="A2115" s="1" t="s">
        <v>569</v>
      </c>
      <c r="C2115" s="3" t="s">
        <v>1165</v>
      </c>
      <c r="F2115" s="10" t="s">
        <v>1166</v>
      </c>
      <c r="G2115" s="7" t="str">
        <f aca="false">HYPERLINK(CONCATENATE("http://crfop.gdos.gov.pl/CRFOP/widok/viewpomnikprzyrody.jsf?fop=","PL.ZIPOP.1393.PP.1017072.5149"),"(kliknij lub Ctrl+kliknij)")</f>
        <v>(kliknij lub Ctrl+kliknij)</v>
      </c>
      <c r="H2115" s="0" t="s">
        <v>958</v>
      </c>
    </row>
    <row r="2116" customFormat="false" ht="69" hidden="false" customHeight="false" outlineLevel="0" collapsed="false">
      <c r="A2116" s="1" t="s">
        <v>569</v>
      </c>
      <c r="C2116" s="3" t="s">
        <v>1167</v>
      </c>
      <c r="F2116" s="10" t="s">
        <v>1168</v>
      </c>
      <c r="G2116" s="7" t="str">
        <f aca="false">HYPERLINK(CONCATENATE("http://crfop.gdos.gov.pl/CRFOP/widok/viewpomnikprzyrody.jsf?fop=","PL.ZIPOP.1393.PP.1061011.5150"),"(kliknij lub Ctrl+kliknij)")</f>
        <v>(kliknij lub Ctrl+kliknij)</v>
      </c>
      <c r="H2116" s="0" t="s">
        <v>1075</v>
      </c>
    </row>
    <row r="2117" customFormat="false" ht="12.8" hidden="false" customHeight="false" outlineLevel="0" collapsed="false">
      <c r="A2117" s="1" t="s">
        <v>569</v>
      </c>
      <c r="C2117" s="3" t="s">
        <v>1167</v>
      </c>
      <c r="F2117" s="6" t="s">
        <v>1168</v>
      </c>
      <c r="G2117" s="7" t="str">
        <f aca="false">HYPERLINK(CONCATENATE("http://crfop.gdos.gov.pl/CRFOP/widok/viewpomnikprzyrody.jsf?fop=","PL.ZIPOP.1393.PP.1061011.5151"),"(kliknij lub Ctrl+kliknij)")</f>
        <v>(kliknij lub Ctrl+kliknij)</v>
      </c>
      <c r="H2117" s="0" t="s">
        <v>1075</v>
      </c>
    </row>
    <row r="2118" customFormat="false" ht="12.8" hidden="false" customHeight="false" outlineLevel="0" collapsed="false">
      <c r="A2118" s="1" t="s">
        <v>569</v>
      </c>
      <c r="C2118" s="3" t="s">
        <v>1167</v>
      </c>
      <c r="F2118" s="6" t="s">
        <v>1169</v>
      </c>
      <c r="G2118" s="7" t="str">
        <f aca="false">HYPERLINK(CONCATENATE("http://crfop.gdos.gov.pl/CRFOP/widok/viewpomnikprzyrody.jsf?fop=","PL.ZIPOP.1393.PP.1061011.5152"),"(kliknij lub Ctrl+kliknij)")</f>
        <v>(kliknij lub Ctrl+kliknij)</v>
      </c>
      <c r="H2118" s="0" t="s">
        <v>1075</v>
      </c>
    </row>
    <row r="2119" customFormat="false" ht="12.8" hidden="false" customHeight="false" outlineLevel="0" collapsed="false">
      <c r="A2119" s="1" t="s">
        <v>569</v>
      </c>
      <c r="C2119" s="3" t="s">
        <v>1167</v>
      </c>
      <c r="F2119" s="6" t="s">
        <v>1170</v>
      </c>
      <c r="G2119" s="7" t="str">
        <f aca="false">HYPERLINK(CONCATENATE("http://crfop.gdos.gov.pl/CRFOP/widok/viewpomnikprzyrody.jsf?fop=","PL.ZIPOP.1393.PP.1061011.5153"),"(kliknij lub Ctrl+kliknij)")</f>
        <v>(kliknij lub Ctrl+kliknij)</v>
      </c>
      <c r="H2119" s="0" t="s">
        <v>1075</v>
      </c>
    </row>
    <row r="2120" customFormat="false" ht="12.8" hidden="false" customHeight="false" outlineLevel="0" collapsed="false">
      <c r="A2120" s="1" t="s">
        <v>569</v>
      </c>
      <c r="C2120" s="3" t="s">
        <v>1167</v>
      </c>
      <c r="F2120" s="6" t="s">
        <v>1170</v>
      </c>
      <c r="G2120" s="7" t="str">
        <f aca="false">HYPERLINK(CONCATENATE("http://crfop.gdos.gov.pl/CRFOP/widok/viewpomnikprzyrody.jsf?fop=","PL.ZIPOP.1393.PP.1061011.5154"),"(kliknij lub Ctrl+kliknij)")</f>
        <v>(kliknij lub Ctrl+kliknij)</v>
      </c>
      <c r="H2120" s="0" t="s">
        <v>1075</v>
      </c>
    </row>
    <row r="2121" customFormat="false" ht="12.8" hidden="false" customHeight="false" outlineLevel="0" collapsed="false">
      <c r="A2121" s="1" t="s">
        <v>569</v>
      </c>
      <c r="C2121" s="3" t="s">
        <v>1167</v>
      </c>
      <c r="F2121" s="6" t="s">
        <v>1170</v>
      </c>
      <c r="G2121" s="7" t="str">
        <f aca="false">HYPERLINK(CONCATENATE("http://crfop.gdos.gov.pl/CRFOP/widok/viewpomnikprzyrody.jsf?fop=","PL.ZIPOP.1393.PP.1061011.5155"),"(kliknij lub Ctrl+kliknij)")</f>
        <v>(kliknij lub Ctrl+kliknij)</v>
      </c>
      <c r="H2121" s="0" t="s">
        <v>1075</v>
      </c>
    </row>
    <row r="2122" customFormat="false" ht="12.8" hidden="false" customHeight="false" outlineLevel="0" collapsed="false">
      <c r="A2122" s="1" t="s">
        <v>569</v>
      </c>
      <c r="C2122" s="3" t="s">
        <v>1167</v>
      </c>
      <c r="F2122" s="6" t="s">
        <v>1168</v>
      </c>
      <c r="G2122" s="7" t="str">
        <f aca="false">HYPERLINK(CONCATENATE("http://crfop.gdos.gov.pl/CRFOP/widok/viewpomnikprzyrody.jsf?fop=","PL.ZIPOP.1393.PP.1061011.5156"),"(kliknij lub Ctrl+kliknij)")</f>
        <v>(kliknij lub Ctrl+kliknij)</v>
      </c>
      <c r="H2122" s="0" t="s">
        <v>1075</v>
      </c>
    </row>
    <row r="2123" customFormat="false" ht="12.8" hidden="false" customHeight="false" outlineLevel="0" collapsed="false">
      <c r="A2123" s="1" t="s">
        <v>569</v>
      </c>
      <c r="C2123" s="3" t="s">
        <v>1167</v>
      </c>
      <c r="F2123" s="6" t="s">
        <v>1169</v>
      </c>
      <c r="G2123" s="7" t="str">
        <f aca="false">HYPERLINK(CONCATENATE("http://crfop.gdos.gov.pl/CRFOP/widok/viewpomnikprzyrody.jsf?fop=","PL.ZIPOP.1393.PP.1061011.5157"),"(kliknij lub Ctrl+kliknij)")</f>
        <v>(kliknij lub Ctrl+kliknij)</v>
      </c>
      <c r="H2123" s="0" t="s">
        <v>1075</v>
      </c>
    </row>
    <row r="2124" customFormat="false" ht="69" hidden="false" customHeight="false" outlineLevel="0" collapsed="false">
      <c r="A2124" s="1" t="s">
        <v>569</v>
      </c>
      <c r="C2124" s="3" t="s">
        <v>1167</v>
      </c>
      <c r="F2124" s="10" t="s">
        <v>1168</v>
      </c>
      <c r="G2124" s="7" t="str">
        <f aca="false">HYPERLINK(CONCATENATE("http://crfop.gdos.gov.pl/CRFOP/widok/viewpomnikprzyrody.jsf?fop=","PL.ZIPOP.1393.PP.1061011.5158"),"(kliknij lub Ctrl+kliknij)")</f>
        <v>(kliknij lub Ctrl+kliknij)</v>
      </c>
      <c r="H2124" s="0" t="s">
        <v>1075</v>
      </c>
    </row>
    <row r="2125" customFormat="false" ht="12.8" hidden="false" customHeight="false" outlineLevel="0" collapsed="false">
      <c r="A2125" s="1" t="s">
        <v>569</v>
      </c>
      <c r="C2125" s="3" t="s">
        <v>584</v>
      </c>
      <c r="F2125" s="6" t="s">
        <v>585</v>
      </c>
      <c r="G2125" s="7" t="str">
        <f aca="false">HYPERLINK(CONCATENATE("http://crfop.gdos.gov.pl/CRFOP/widok/viewpomnikprzyrody.jsf?fop=","PL.ZIPOP.1393.PP.1014072.5159"),"(kliknij lub Ctrl+kliknij)")</f>
        <v>(kliknij lub Ctrl+kliknij)</v>
      </c>
      <c r="H2125" s="0" t="s">
        <v>861</v>
      </c>
    </row>
    <row r="2126" customFormat="false" ht="12.8" hidden="false" customHeight="false" outlineLevel="0" collapsed="false">
      <c r="A2126" s="1" t="s">
        <v>569</v>
      </c>
      <c r="C2126" s="3" t="s">
        <v>584</v>
      </c>
      <c r="F2126" s="6" t="s">
        <v>585</v>
      </c>
      <c r="G2126" s="7" t="str">
        <f aca="false">HYPERLINK(CONCATENATE("http://crfop.gdos.gov.pl/CRFOP/widok/viewpomnikprzyrody.jsf?fop=","PL.ZIPOP.1393.PP.1014072.5160"),"(kliknij lub Ctrl+kliknij)")</f>
        <v>(kliknij lub Ctrl+kliknij)</v>
      </c>
      <c r="H2126" s="0" t="s">
        <v>861</v>
      </c>
    </row>
    <row r="2127" customFormat="false" ht="69" hidden="false" customHeight="false" outlineLevel="0" collapsed="false">
      <c r="A2127" s="1" t="s">
        <v>569</v>
      </c>
      <c r="C2127" s="3" t="s">
        <v>723</v>
      </c>
      <c r="D2127" s="4" t="s">
        <v>571</v>
      </c>
      <c r="F2127" s="10" t="s">
        <v>724</v>
      </c>
      <c r="G2127" s="7" t="str">
        <f aca="false">HYPERLINK(CONCATENATE("http://crfop.gdos.gov.pl/CRFOP/widok/viewpomnikprzyrody.jsf?fop=","PL.ZIPOP.1393.PP.1016011.5167"),"(kliknij lub Ctrl+kliknij)")</f>
        <v>(kliknij lub Ctrl+kliknij)</v>
      </c>
      <c r="H2127" s="0" t="s">
        <v>902</v>
      </c>
    </row>
    <row r="2128" customFormat="false" ht="69" hidden="false" customHeight="false" outlineLevel="0" collapsed="false">
      <c r="A2128" s="1" t="s">
        <v>569</v>
      </c>
      <c r="C2128" s="3" t="s">
        <v>723</v>
      </c>
      <c r="D2128" s="4" t="s">
        <v>571</v>
      </c>
      <c r="F2128" s="10" t="s">
        <v>724</v>
      </c>
      <c r="G2128" s="7" t="str">
        <f aca="false">HYPERLINK(CONCATENATE("http://crfop.gdos.gov.pl/CRFOP/widok/viewpomnikprzyrody.jsf?fop=","PL.ZIPOP.1393.PP.1016011.5169"),"(kliknij lub Ctrl+kliknij)")</f>
        <v>(kliknij lub Ctrl+kliknij)</v>
      </c>
      <c r="H2128" s="0" t="s">
        <v>902</v>
      </c>
    </row>
    <row r="2129" customFormat="false" ht="12.8" hidden="false" customHeight="false" outlineLevel="0" collapsed="false">
      <c r="A2129" s="1" t="s">
        <v>569</v>
      </c>
      <c r="C2129" s="3" t="s">
        <v>707</v>
      </c>
      <c r="F2129" s="6" t="s">
        <v>1171</v>
      </c>
      <c r="G2129" s="7" t="str">
        <f aca="false">HYPERLINK(CONCATENATE("http://crfop.gdos.gov.pl/CRFOP/widok/viewpomnikprzyrody.jsf?fop=","PL.ZIPOP.1393.PP.1020062.5170"),"(kliknij lub Ctrl+kliknij)")</f>
        <v>(kliknij lub Ctrl+kliknij)</v>
      </c>
      <c r="H2129" s="0" t="s">
        <v>1004</v>
      </c>
    </row>
    <row r="2130" customFormat="false" ht="12.8" hidden="false" customHeight="false" outlineLevel="0" collapsed="false">
      <c r="A2130" s="1" t="s">
        <v>569</v>
      </c>
      <c r="C2130" s="3" t="s">
        <v>707</v>
      </c>
      <c r="F2130" s="6" t="s">
        <v>1172</v>
      </c>
      <c r="G2130" s="7" t="str">
        <f aca="false">HYPERLINK(CONCATENATE("http://crfop.gdos.gov.pl/CRFOP/widok/viewpomnikprzyrody.jsf?fop=","PL.ZIPOP.1393.PP.1020062.5171"),"(kliknij lub Ctrl+kliknij)")</f>
        <v>(kliknij lub Ctrl+kliknij)</v>
      </c>
      <c r="H2130" s="0" t="s">
        <v>1004</v>
      </c>
    </row>
    <row r="2131" customFormat="false" ht="12.8" hidden="false" customHeight="false" outlineLevel="0" collapsed="false">
      <c r="A2131" s="1" t="s">
        <v>569</v>
      </c>
      <c r="C2131" s="3" t="s">
        <v>707</v>
      </c>
      <c r="F2131" s="6" t="s">
        <v>1172</v>
      </c>
      <c r="G2131" s="7" t="str">
        <f aca="false">HYPERLINK(CONCATENATE("http://crfop.gdos.gov.pl/CRFOP/widok/viewpomnikprzyrody.jsf?fop=","PL.ZIPOP.1393.PP.1020062.5172"),"(kliknij lub Ctrl+kliknij)")</f>
        <v>(kliknij lub Ctrl+kliknij)</v>
      </c>
      <c r="H2131" s="0" t="s">
        <v>1004</v>
      </c>
    </row>
    <row r="2132" customFormat="false" ht="12.8" hidden="false" customHeight="false" outlineLevel="0" collapsed="false">
      <c r="A2132" s="1" t="s">
        <v>569</v>
      </c>
      <c r="C2132" s="3" t="s">
        <v>707</v>
      </c>
      <c r="F2132" s="6" t="s">
        <v>1172</v>
      </c>
      <c r="G2132" s="7" t="str">
        <f aca="false">HYPERLINK(CONCATENATE("http://crfop.gdos.gov.pl/CRFOP/widok/viewpomnikprzyrody.jsf?fop=","PL.ZIPOP.1393.PP.1020062.5173"),"(kliknij lub Ctrl+kliknij)")</f>
        <v>(kliknij lub Ctrl+kliknij)</v>
      </c>
      <c r="H2132" s="0" t="s">
        <v>1004</v>
      </c>
    </row>
    <row r="2133" customFormat="false" ht="12.8" hidden="false" customHeight="false" outlineLevel="0" collapsed="false">
      <c r="A2133" s="1" t="s">
        <v>569</v>
      </c>
      <c r="C2133" s="3" t="s">
        <v>707</v>
      </c>
      <c r="F2133" s="6" t="s">
        <v>1172</v>
      </c>
      <c r="G2133" s="7" t="str">
        <f aca="false">HYPERLINK(CONCATENATE("http://crfop.gdos.gov.pl/CRFOP/widok/viewpomnikprzyrody.jsf?fop=","PL.ZIPOP.1393.PP.1020062.5174"),"(kliknij lub Ctrl+kliknij)")</f>
        <v>(kliknij lub Ctrl+kliknij)</v>
      </c>
      <c r="H2133" s="0" t="s">
        <v>1004</v>
      </c>
    </row>
    <row r="2134" customFormat="false" ht="12.8" hidden="false" customHeight="false" outlineLevel="0" collapsed="false">
      <c r="A2134" s="1" t="s">
        <v>569</v>
      </c>
      <c r="C2134" s="3" t="s">
        <v>707</v>
      </c>
      <c r="F2134" s="6" t="s">
        <v>1172</v>
      </c>
      <c r="G2134" s="7" t="str">
        <f aca="false">HYPERLINK(CONCATENATE("http://crfop.gdos.gov.pl/CRFOP/widok/viewpomnikprzyrody.jsf?fop=","PL.ZIPOP.1393.PP.1020062.5175"),"(kliknij lub Ctrl+kliknij)")</f>
        <v>(kliknij lub Ctrl+kliknij)</v>
      </c>
      <c r="H2134" s="0" t="s">
        <v>1004</v>
      </c>
    </row>
    <row r="2135" customFormat="false" ht="125.55" hidden="false" customHeight="false" outlineLevel="0" collapsed="false">
      <c r="A2135" s="1" t="s">
        <v>569</v>
      </c>
      <c r="C2135" s="3" t="s">
        <v>707</v>
      </c>
      <c r="F2135" s="10" t="s">
        <v>1172</v>
      </c>
      <c r="G2135" s="7" t="str">
        <f aca="false">HYPERLINK(CONCATENATE("http://crfop.gdos.gov.pl/CRFOP/widok/viewpomnikprzyrody.jsf?fop=","PL.ZIPOP.1393.PP.1020062.5176"),"(kliknij lub Ctrl+kliknij)")</f>
        <v>(kliknij lub Ctrl+kliknij)</v>
      </c>
      <c r="H2135" s="0" t="s">
        <v>1004</v>
      </c>
    </row>
    <row r="2136" customFormat="false" ht="125.55" hidden="false" customHeight="false" outlineLevel="0" collapsed="false">
      <c r="A2136" s="1" t="s">
        <v>569</v>
      </c>
      <c r="C2136" s="3" t="s">
        <v>707</v>
      </c>
      <c r="F2136" s="10" t="s">
        <v>1172</v>
      </c>
      <c r="G2136" s="7" t="str">
        <f aca="false">HYPERLINK(CONCATENATE("http://crfop.gdos.gov.pl/CRFOP/widok/viewpomnikprzyrody.jsf?fop=","PL.ZIPOP.1393.PP.1020062.5177"),"(kliknij lub Ctrl+kliknij)")</f>
        <v>(kliknij lub Ctrl+kliknij)</v>
      </c>
      <c r="H2136" s="0" t="s">
        <v>1004</v>
      </c>
    </row>
    <row r="2137" customFormat="false" ht="12.8" hidden="false" customHeight="false" outlineLevel="0" collapsed="false">
      <c r="A2137" s="1" t="s">
        <v>569</v>
      </c>
      <c r="C2137" s="3" t="s">
        <v>707</v>
      </c>
      <c r="F2137" s="6" t="s">
        <v>1172</v>
      </c>
      <c r="G2137" s="7" t="str">
        <f aca="false">HYPERLINK(CONCATENATE("http://crfop.gdos.gov.pl/CRFOP/widok/viewpomnikprzyrody.jsf?fop=","PL.ZIPOP.1393.PP.1020062.5178"),"(kliknij lub Ctrl+kliknij)")</f>
        <v>(kliknij lub Ctrl+kliknij)</v>
      </c>
      <c r="H2137" s="0" t="s">
        <v>1004</v>
      </c>
    </row>
    <row r="2138" customFormat="false" ht="12.8" hidden="false" customHeight="false" outlineLevel="0" collapsed="false">
      <c r="A2138" s="1" t="s">
        <v>569</v>
      </c>
      <c r="C2138" s="3" t="s">
        <v>570</v>
      </c>
      <c r="D2138" s="4" t="s">
        <v>571</v>
      </c>
      <c r="F2138" s="6" t="s">
        <v>572</v>
      </c>
      <c r="G2138" s="7" t="str">
        <f aca="false">HYPERLINK(CONCATENATE("http://crfop.gdos.gov.pl/CRFOP/widok/viewpomnikprzyrody.jsf?fop=","PL.ZIPOP.1393.PP.1016011.5179"),"(kliknij lub Ctrl+kliknij)")</f>
        <v>(kliknij lub Ctrl+kliknij)</v>
      </c>
      <c r="H2138" s="0" t="s">
        <v>902</v>
      </c>
    </row>
    <row r="2139" customFormat="false" ht="12.8" hidden="false" customHeight="false" outlineLevel="0" collapsed="false">
      <c r="A2139" s="1" t="s">
        <v>569</v>
      </c>
      <c r="C2139" s="3" t="s">
        <v>570</v>
      </c>
      <c r="D2139" s="4" t="s">
        <v>571</v>
      </c>
      <c r="F2139" s="6" t="s">
        <v>572</v>
      </c>
      <c r="G2139" s="7" t="str">
        <f aca="false">HYPERLINK(CONCATENATE("http://crfop.gdos.gov.pl/CRFOP/widok/viewpomnikprzyrody.jsf?fop=","PL.ZIPOP.1393.PP.1016011.5180"),"(kliknij lub Ctrl+kliknij)")</f>
        <v>(kliknij lub Ctrl+kliknij)</v>
      </c>
      <c r="H2139" s="0" t="s">
        <v>902</v>
      </c>
    </row>
    <row r="2140" customFormat="false" ht="12.8" hidden="false" customHeight="false" outlineLevel="0" collapsed="false">
      <c r="A2140" s="1" t="s">
        <v>569</v>
      </c>
      <c r="C2140" s="3" t="s">
        <v>570</v>
      </c>
      <c r="D2140" s="4" t="s">
        <v>571</v>
      </c>
      <c r="F2140" s="6" t="s">
        <v>572</v>
      </c>
      <c r="G2140" s="7" t="str">
        <f aca="false">HYPERLINK(CONCATENATE("http://crfop.gdos.gov.pl/CRFOP/widok/viewpomnikprzyrody.jsf?fop=","PL.ZIPOP.1393.PP.1016011.5181"),"(kliknij lub Ctrl+kliknij)")</f>
        <v>(kliknij lub Ctrl+kliknij)</v>
      </c>
      <c r="H2140" s="0" t="s">
        <v>902</v>
      </c>
    </row>
    <row r="2141" customFormat="false" ht="12.8" hidden="false" customHeight="false" outlineLevel="0" collapsed="false">
      <c r="A2141" s="1" t="s">
        <v>569</v>
      </c>
      <c r="C2141" s="3" t="s">
        <v>570</v>
      </c>
      <c r="D2141" s="4" t="s">
        <v>571</v>
      </c>
      <c r="F2141" s="6" t="s">
        <v>572</v>
      </c>
      <c r="G2141" s="7" t="str">
        <f aca="false">HYPERLINK(CONCATENATE("http://crfop.gdos.gov.pl/CRFOP/widok/viewpomnikprzyrody.jsf?fop=","PL.ZIPOP.1393.PP.1016011.5182"),"(kliknij lub Ctrl+kliknij)")</f>
        <v>(kliknij lub Ctrl+kliknij)</v>
      </c>
      <c r="H2141" s="0" t="s">
        <v>902</v>
      </c>
    </row>
    <row r="2142" customFormat="false" ht="12.8" hidden="false" customHeight="false" outlineLevel="0" collapsed="false">
      <c r="A2142" s="1" t="s">
        <v>569</v>
      </c>
      <c r="C2142" s="3" t="s">
        <v>570</v>
      </c>
      <c r="D2142" s="4" t="s">
        <v>571</v>
      </c>
      <c r="F2142" s="6" t="s">
        <v>572</v>
      </c>
      <c r="G2142" s="7" t="str">
        <f aca="false">HYPERLINK(CONCATENATE("http://crfop.gdos.gov.pl/CRFOP/widok/viewpomnikprzyrody.jsf?fop=","PL.ZIPOP.1393.PP.1016011.5183"),"(kliknij lub Ctrl+kliknij)")</f>
        <v>(kliknij lub Ctrl+kliknij)</v>
      </c>
      <c r="H2142" s="0" t="s">
        <v>902</v>
      </c>
    </row>
    <row r="2143" customFormat="false" ht="12.8" hidden="false" customHeight="false" outlineLevel="0" collapsed="false">
      <c r="A2143" s="1" t="s">
        <v>569</v>
      </c>
      <c r="C2143" s="3" t="s">
        <v>570</v>
      </c>
      <c r="D2143" s="4" t="s">
        <v>571</v>
      </c>
      <c r="F2143" s="6" t="s">
        <v>572</v>
      </c>
      <c r="G2143" s="7" t="str">
        <f aca="false">HYPERLINK(CONCATENATE("http://crfop.gdos.gov.pl/CRFOP/widok/viewpomnikprzyrody.jsf?fop=","PL.ZIPOP.1393.PP.1016011.5184"),"(kliknij lub Ctrl+kliknij)")</f>
        <v>(kliknij lub Ctrl+kliknij)</v>
      </c>
      <c r="H2143" s="0" t="s">
        <v>902</v>
      </c>
    </row>
    <row r="2144" customFormat="false" ht="12.8" hidden="false" customHeight="false" outlineLevel="0" collapsed="false">
      <c r="A2144" s="1" t="s">
        <v>569</v>
      </c>
      <c r="C2144" s="3" t="s">
        <v>570</v>
      </c>
      <c r="D2144" s="4" t="s">
        <v>571</v>
      </c>
      <c r="F2144" s="6" t="s">
        <v>572</v>
      </c>
      <c r="G2144" s="7" t="str">
        <f aca="false">HYPERLINK(CONCATENATE("http://crfop.gdos.gov.pl/CRFOP/widok/viewpomnikprzyrody.jsf?fop=","PL.ZIPOP.1393.PP.1016011.5185"),"(kliknij lub Ctrl+kliknij)")</f>
        <v>(kliknij lub Ctrl+kliknij)</v>
      </c>
      <c r="H2144" s="0" t="s">
        <v>902</v>
      </c>
    </row>
    <row r="2145" customFormat="false" ht="12.8" hidden="false" customHeight="false" outlineLevel="0" collapsed="false">
      <c r="A2145" s="1" t="s">
        <v>569</v>
      </c>
      <c r="C2145" s="3" t="s">
        <v>570</v>
      </c>
      <c r="D2145" s="4" t="s">
        <v>571</v>
      </c>
      <c r="F2145" s="6" t="s">
        <v>572</v>
      </c>
      <c r="G2145" s="7" t="str">
        <f aca="false">HYPERLINK(CONCATENATE("http://crfop.gdos.gov.pl/CRFOP/widok/viewpomnikprzyrody.jsf?fop=","PL.ZIPOP.1393.PP.1016011.5186"),"(kliknij lub Ctrl+kliknij)")</f>
        <v>(kliknij lub Ctrl+kliknij)</v>
      </c>
      <c r="H2145" s="0" t="s">
        <v>902</v>
      </c>
    </row>
    <row r="2146" customFormat="false" ht="12.8" hidden="false" customHeight="false" outlineLevel="0" collapsed="false">
      <c r="A2146" s="1" t="s">
        <v>569</v>
      </c>
      <c r="C2146" s="3" t="s">
        <v>570</v>
      </c>
      <c r="D2146" s="4" t="s">
        <v>571</v>
      </c>
      <c r="F2146" s="6" t="s">
        <v>572</v>
      </c>
      <c r="G2146" s="7" t="str">
        <f aca="false">HYPERLINK(CONCATENATE("http://crfop.gdos.gov.pl/CRFOP/widok/viewpomnikprzyrody.jsf?fop=","PL.ZIPOP.1393.PP.1016011.5187"),"(kliknij lub Ctrl+kliknij)")</f>
        <v>(kliknij lub Ctrl+kliknij)</v>
      </c>
      <c r="H2146" s="0" t="s">
        <v>902</v>
      </c>
    </row>
    <row r="2147" customFormat="false" ht="12.8" hidden="false" customHeight="false" outlineLevel="0" collapsed="false">
      <c r="A2147" s="1" t="s">
        <v>569</v>
      </c>
      <c r="C2147" s="3" t="s">
        <v>723</v>
      </c>
      <c r="D2147" s="4" t="s">
        <v>571</v>
      </c>
      <c r="F2147" s="6" t="s">
        <v>724</v>
      </c>
      <c r="G2147" s="7" t="str">
        <f aca="false">HYPERLINK(CONCATENATE("http://crfop.gdos.gov.pl/CRFOP/widok/viewpomnikprzyrody.jsf?fop=","PL.ZIPOP.1393.PP.1016011.5188"),"(kliknij lub Ctrl+kliknij)")</f>
        <v>(kliknij lub Ctrl+kliknij)</v>
      </c>
      <c r="H2147" s="0" t="s">
        <v>902</v>
      </c>
    </row>
    <row r="2148" customFormat="false" ht="12.8" hidden="false" customHeight="false" outlineLevel="0" collapsed="false">
      <c r="A2148" s="1" t="s">
        <v>569</v>
      </c>
      <c r="C2148" s="3" t="s">
        <v>723</v>
      </c>
      <c r="D2148" s="4" t="s">
        <v>571</v>
      </c>
      <c r="F2148" s="6" t="s">
        <v>724</v>
      </c>
      <c r="G2148" s="7" t="str">
        <f aca="false">HYPERLINK(CONCATENATE("http://crfop.gdos.gov.pl/CRFOP/widok/viewpomnikprzyrody.jsf?fop=","PL.ZIPOP.1393.PP.1016011.5189"),"(kliknij lub Ctrl+kliknij)")</f>
        <v>(kliknij lub Ctrl+kliknij)</v>
      </c>
      <c r="H2148" s="0" t="s">
        <v>902</v>
      </c>
    </row>
    <row r="2149" customFormat="false" ht="12.8" hidden="false" customHeight="false" outlineLevel="0" collapsed="false">
      <c r="A2149" s="1" t="s">
        <v>569</v>
      </c>
      <c r="C2149" s="3" t="s">
        <v>723</v>
      </c>
      <c r="D2149" s="4" t="s">
        <v>571</v>
      </c>
      <c r="F2149" s="6" t="s">
        <v>724</v>
      </c>
      <c r="G2149" s="7" t="str">
        <f aca="false">HYPERLINK(CONCATENATE("http://crfop.gdos.gov.pl/CRFOP/widok/viewpomnikprzyrody.jsf?fop=","PL.ZIPOP.1393.PP.1016011.5190"),"(kliknij lub Ctrl+kliknij)")</f>
        <v>(kliknij lub Ctrl+kliknij)</v>
      </c>
      <c r="H2149" s="0" t="s">
        <v>902</v>
      </c>
    </row>
    <row r="2150" customFormat="false" ht="12.8" hidden="false" customHeight="false" outlineLevel="0" collapsed="false">
      <c r="A2150" s="1" t="s">
        <v>569</v>
      </c>
      <c r="C2150" s="3" t="s">
        <v>723</v>
      </c>
      <c r="D2150" s="4" t="s">
        <v>571</v>
      </c>
      <c r="F2150" s="6" t="s">
        <v>724</v>
      </c>
      <c r="G2150" s="7" t="str">
        <f aca="false">HYPERLINK(CONCATENATE("http://crfop.gdos.gov.pl/CRFOP/widok/viewpomnikprzyrody.jsf?fop=","PL.ZIPOP.1393.PP.1016011.5191"),"(kliknij lub Ctrl+kliknij)")</f>
        <v>(kliknij lub Ctrl+kliknij)</v>
      </c>
      <c r="H2150" s="0" t="s">
        <v>902</v>
      </c>
    </row>
    <row r="2151" customFormat="false" ht="12.8" hidden="false" customHeight="false" outlineLevel="0" collapsed="false">
      <c r="A2151" s="1" t="s">
        <v>569</v>
      </c>
      <c r="C2151" s="3" t="s">
        <v>723</v>
      </c>
      <c r="D2151" s="4" t="s">
        <v>571</v>
      </c>
      <c r="F2151" s="6" t="s">
        <v>724</v>
      </c>
      <c r="G2151" s="7" t="str">
        <f aca="false">HYPERLINK(CONCATENATE("http://crfop.gdos.gov.pl/CRFOP/widok/viewpomnikprzyrody.jsf?fop=","PL.ZIPOP.1393.PP.1016011.5192"),"(kliknij lub Ctrl+kliknij)")</f>
        <v>(kliknij lub Ctrl+kliknij)</v>
      </c>
      <c r="H2151" s="0" t="s">
        <v>902</v>
      </c>
    </row>
    <row r="2152" customFormat="false" ht="12.8" hidden="false" customHeight="false" outlineLevel="0" collapsed="false">
      <c r="A2152" s="1" t="s">
        <v>569</v>
      </c>
      <c r="C2152" s="3" t="s">
        <v>723</v>
      </c>
      <c r="D2152" s="4" t="s">
        <v>571</v>
      </c>
      <c r="F2152" s="6" t="s">
        <v>724</v>
      </c>
      <c r="G2152" s="7" t="str">
        <f aca="false">HYPERLINK(CONCATENATE("http://crfop.gdos.gov.pl/CRFOP/widok/viewpomnikprzyrody.jsf?fop=","PL.ZIPOP.1393.PP.1016011.5193"),"(kliknij lub Ctrl+kliknij)")</f>
        <v>(kliknij lub Ctrl+kliknij)</v>
      </c>
      <c r="H2152" s="0" t="s">
        <v>902</v>
      </c>
    </row>
    <row r="2153" customFormat="false" ht="12.8" hidden="false" customHeight="false" outlineLevel="0" collapsed="false">
      <c r="A2153" s="1" t="s">
        <v>569</v>
      </c>
      <c r="C2153" s="3" t="s">
        <v>723</v>
      </c>
      <c r="D2153" s="4" t="s">
        <v>571</v>
      </c>
      <c r="F2153" s="6" t="s">
        <v>724</v>
      </c>
      <c r="G2153" s="7" t="str">
        <f aca="false">HYPERLINK(CONCATENATE("http://crfop.gdos.gov.pl/CRFOP/widok/viewpomnikprzyrody.jsf?fop=","PL.ZIPOP.1393.PP.1016011.5194"),"(kliknij lub Ctrl+kliknij)")</f>
        <v>(kliknij lub Ctrl+kliknij)</v>
      </c>
      <c r="H2153" s="0" t="s">
        <v>902</v>
      </c>
    </row>
    <row r="2154" customFormat="false" ht="12.8" hidden="false" customHeight="false" outlineLevel="0" collapsed="false">
      <c r="A2154" s="1" t="s">
        <v>569</v>
      </c>
      <c r="C2154" s="3" t="s">
        <v>723</v>
      </c>
      <c r="D2154" s="4" t="s">
        <v>571</v>
      </c>
      <c r="F2154" s="6" t="s">
        <v>724</v>
      </c>
      <c r="G2154" s="7" t="str">
        <f aca="false">HYPERLINK(CONCATENATE("http://crfop.gdos.gov.pl/CRFOP/widok/viewpomnikprzyrody.jsf?fop=","PL.ZIPOP.1393.PP.1016011.5195"),"(kliknij lub Ctrl+kliknij)")</f>
        <v>(kliknij lub Ctrl+kliknij)</v>
      </c>
      <c r="H2154" s="0" t="s">
        <v>902</v>
      </c>
    </row>
    <row r="2155" customFormat="false" ht="80.35" hidden="false" customHeight="false" outlineLevel="0" collapsed="false">
      <c r="A2155" s="1" t="s">
        <v>569</v>
      </c>
      <c r="B2155" s="2" t="s">
        <v>1173</v>
      </c>
      <c r="C2155" s="3" t="s">
        <v>1174</v>
      </c>
      <c r="F2155" s="10" t="s">
        <v>1175</v>
      </c>
      <c r="G2155" s="7" t="str">
        <f aca="false">HYPERLINK(CONCATENATE("http://crfop.gdos.gov.pl/CRFOP/widok/viewpomnikprzyrody.jsf?fop=","PL.ZIPOP.1393.PP.1012011.5196"),"(kliknij lub Ctrl+kliknij)")</f>
        <v>(kliknij lub Ctrl+kliknij)</v>
      </c>
      <c r="H2155" s="0" t="s">
        <v>793</v>
      </c>
    </row>
    <row r="2156" customFormat="false" ht="12.8" hidden="false" customHeight="false" outlineLevel="0" collapsed="false">
      <c r="A2156" s="1" t="s">
        <v>569</v>
      </c>
      <c r="C2156" s="3" t="s">
        <v>713</v>
      </c>
      <c r="F2156" s="6" t="s">
        <v>1176</v>
      </c>
      <c r="G2156" s="7" t="str">
        <f aca="false">HYPERLINK(CONCATENATE("http://crfop.gdos.gov.pl/CRFOP/widok/viewpomnikprzyrody.jsf?fop=","PL.ZIPOP.1393.PP.1008072.5197"),"(kliknij lub Ctrl+kliknij)")</f>
        <v>(kliknij lub Ctrl+kliknij)</v>
      </c>
      <c r="H2156" s="0" t="s">
        <v>733</v>
      </c>
    </row>
    <row r="2157" customFormat="false" ht="12.8" hidden="false" customHeight="false" outlineLevel="0" collapsed="false">
      <c r="A2157" s="1" t="s">
        <v>569</v>
      </c>
      <c r="C2157" s="3" t="s">
        <v>713</v>
      </c>
      <c r="F2157" s="6" t="s">
        <v>714</v>
      </c>
      <c r="G2157" s="7" t="str">
        <f aca="false">HYPERLINK(CONCATENATE("http://crfop.gdos.gov.pl/CRFOP/widok/viewpomnikprzyrody.jsf?fop=","PL.ZIPOP.1393.PP.1008072.5198"),"(kliknij lub Ctrl+kliknij)")</f>
        <v>(kliknij lub Ctrl+kliknij)</v>
      </c>
      <c r="H2157" s="0" t="s">
        <v>733</v>
      </c>
    </row>
    <row r="2158" customFormat="false" ht="12.8" hidden="false" customHeight="false" outlineLevel="0" collapsed="false">
      <c r="A2158" s="1" t="s">
        <v>569</v>
      </c>
      <c r="C2158" s="3" t="s">
        <v>707</v>
      </c>
      <c r="F2158" s="6" t="s">
        <v>1172</v>
      </c>
      <c r="G2158" s="7" t="str">
        <f aca="false">HYPERLINK(CONCATENATE("http://crfop.gdos.gov.pl/CRFOP/widok/viewpomnikprzyrody.jsf?fop=","PL.ZIPOP.1393.PP.1020062.5199"),"(kliknij lub Ctrl+kliknij)")</f>
        <v>(kliknij lub Ctrl+kliknij)</v>
      </c>
      <c r="H2158" s="0" t="s">
        <v>1004</v>
      </c>
    </row>
    <row r="2159" customFormat="false" ht="12.8" hidden="false" customHeight="false" outlineLevel="0" collapsed="false">
      <c r="A2159" s="1" t="s">
        <v>569</v>
      </c>
      <c r="C2159" s="3" t="s">
        <v>710</v>
      </c>
      <c r="D2159" s="4" t="s">
        <v>571</v>
      </c>
      <c r="F2159" s="6" t="s">
        <v>711</v>
      </c>
      <c r="G2159" s="7" t="str">
        <f aca="false">HYPERLINK(CONCATENATE("http://crfop.gdos.gov.pl/CRFOP/widok/viewpomnikprzyrody.jsf?fop=","PL.ZIPOP.1393.PP.1020092.5204"),"(kliknij lub Ctrl+kliknij)")</f>
        <v>(kliknij lub Ctrl+kliknij)</v>
      </c>
      <c r="H2159" s="0" t="s">
        <v>1053</v>
      </c>
    </row>
    <row r="2160" customFormat="false" ht="12.8" hidden="false" customHeight="false" outlineLevel="0" collapsed="false">
      <c r="A2160" s="1" t="s">
        <v>569</v>
      </c>
      <c r="C2160" s="3" t="s">
        <v>710</v>
      </c>
      <c r="D2160" s="4" t="s">
        <v>571</v>
      </c>
      <c r="F2160" s="6" t="s">
        <v>711</v>
      </c>
      <c r="G2160" s="7" t="str">
        <f aca="false">HYPERLINK(CONCATENATE("http://crfop.gdos.gov.pl/CRFOP/widok/viewpomnikprzyrody.jsf?fop=","PL.ZIPOP.1393.PP.1020092.5205"),"(kliknij lub Ctrl+kliknij)")</f>
        <v>(kliknij lub Ctrl+kliknij)</v>
      </c>
      <c r="H2160" s="0" t="s">
        <v>1053</v>
      </c>
    </row>
    <row r="2161" customFormat="false" ht="102.95" hidden="false" customHeight="false" outlineLevel="0" collapsed="false">
      <c r="A2161" s="1" t="s">
        <v>569</v>
      </c>
      <c r="C2161" s="3" t="s">
        <v>1056</v>
      </c>
      <c r="D2161" s="4" t="s">
        <v>571</v>
      </c>
      <c r="F2161" s="10" t="s">
        <v>1057</v>
      </c>
      <c r="G2161" s="7" t="str">
        <f aca="false">HYPERLINK(CONCATENATE("http://crfop.gdos.gov.pl/CRFOP/widok/viewpomnikprzyrody.jsf?fop=","PL.ZIPOP.1393.PP.1020092.5206"),"(kliknij lub Ctrl+kliknij)")</f>
        <v>(kliknij lub Ctrl+kliknij)</v>
      </c>
      <c r="H2161" s="0" t="s">
        <v>1053</v>
      </c>
    </row>
    <row r="2162" customFormat="false" ht="12.8" hidden="false" customHeight="false" outlineLevel="0" collapsed="false">
      <c r="A2162" s="1" t="s">
        <v>569</v>
      </c>
      <c r="C2162" s="3" t="s">
        <v>1177</v>
      </c>
      <c r="F2162" s="6" t="s">
        <v>1178</v>
      </c>
      <c r="G2162" s="7" t="str">
        <f aca="false">HYPERLINK(CONCATENATE("http://crfop.gdos.gov.pl/CRFOP/widok/viewpomnikprzyrody.jsf?fop=","PL.ZIPOP.1393.PP.1014032.5207"),"(kliknij lub Ctrl+kliknij)")</f>
        <v>(kliknij lub Ctrl+kliknij)</v>
      </c>
      <c r="H2162" s="0" t="s">
        <v>850</v>
      </c>
    </row>
    <row r="2163" customFormat="false" ht="80.35" hidden="false" customHeight="false" outlineLevel="0" collapsed="false">
      <c r="A2163" s="1" t="s">
        <v>569</v>
      </c>
      <c r="C2163" s="3" t="s">
        <v>1179</v>
      </c>
      <c r="F2163" s="10" t="s">
        <v>1180</v>
      </c>
      <c r="G2163" s="7" t="str">
        <f aca="false">HYPERLINK(CONCATENATE("http://crfop.gdos.gov.pl/CRFOP/widok/viewpomnikprzyrody.jsf?fop=","PL.ZIPOP.1393.PP.1061011.5208"),"(kliknij lub Ctrl+kliknij)")</f>
        <v>(kliknij lub Ctrl+kliknij)</v>
      </c>
      <c r="H2163" s="0" t="s">
        <v>1075</v>
      </c>
    </row>
    <row r="2164" customFormat="false" ht="12.8" hidden="false" customHeight="false" outlineLevel="0" collapsed="false">
      <c r="A2164" s="1" t="s">
        <v>569</v>
      </c>
      <c r="C2164" s="3" t="s">
        <v>1179</v>
      </c>
      <c r="F2164" s="6" t="s">
        <v>1181</v>
      </c>
      <c r="G2164" s="7" t="str">
        <f aca="false">HYPERLINK(CONCATENATE("http://crfop.gdos.gov.pl/CRFOP/widok/viewpomnikprzyrody.jsf?fop=","PL.ZIPOP.1393.PP.1061011.5209"),"(kliknij lub Ctrl+kliknij)")</f>
        <v>(kliknij lub Ctrl+kliknij)</v>
      </c>
      <c r="H2164" s="0" t="s">
        <v>1075</v>
      </c>
    </row>
    <row r="2165" customFormat="false" ht="12.8" hidden="false" customHeight="false" outlineLevel="0" collapsed="false">
      <c r="A2165" s="1" t="s">
        <v>569</v>
      </c>
      <c r="C2165" s="3" t="s">
        <v>1179</v>
      </c>
      <c r="F2165" s="6" t="s">
        <v>1182</v>
      </c>
      <c r="G2165" s="7" t="str">
        <f aca="false">HYPERLINK(CONCATENATE("http://crfop.gdos.gov.pl/CRFOP/widok/viewpomnikprzyrody.jsf?fop=","PL.ZIPOP.1393.PP.1061011.5210"),"(kliknij lub Ctrl+kliknij)")</f>
        <v>(kliknij lub Ctrl+kliknij)</v>
      </c>
      <c r="H2165" s="0" t="s">
        <v>1075</v>
      </c>
    </row>
    <row r="2166" customFormat="false" ht="12.8" hidden="false" customHeight="false" outlineLevel="0" collapsed="false">
      <c r="A2166" s="1" t="s">
        <v>569</v>
      </c>
      <c r="C2166" s="3" t="s">
        <v>1179</v>
      </c>
      <c r="F2166" s="6" t="s">
        <v>1183</v>
      </c>
      <c r="G2166" s="7" t="str">
        <f aca="false">HYPERLINK(CONCATENATE("http://crfop.gdos.gov.pl/CRFOP/widok/viewpomnikprzyrody.jsf?fop=","PL.ZIPOP.1393.PP.1061011.5211"),"(kliknij lub Ctrl+kliknij)")</f>
        <v>(kliknij lub Ctrl+kliknij)</v>
      </c>
      <c r="H2166" s="0" t="s">
        <v>1075</v>
      </c>
    </row>
    <row r="2167" customFormat="false" ht="80.35" hidden="false" customHeight="false" outlineLevel="0" collapsed="false">
      <c r="A2167" s="1" t="s">
        <v>569</v>
      </c>
      <c r="C2167" s="3" t="s">
        <v>1179</v>
      </c>
      <c r="F2167" s="10" t="s">
        <v>1183</v>
      </c>
      <c r="G2167" s="7" t="str">
        <f aca="false">HYPERLINK(CONCATENATE("http://crfop.gdos.gov.pl/CRFOP/widok/viewpomnikprzyrody.jsf?fop=","PL.ZIPOP.1393.PP.1061011.5212"),"(kliknij lub Ctrl+kliknij)")</f>
        <v>(kliknij lub Ctrl+kliknij)</v>
      </c>
      <c r="H2167" s="0" t="s">
        <v>1075</v>
      </c>
    </row>
    <row r="2168" customFormat="false" ht="12.8" hidden="false" customHeight="false" outlineLevel="0" collapsed="false">
      <c r="A2168" s="1" t="s">
        <v>569</v>
      </c>
      <c r="C2168" s="3" t="s">
        <v>1179</v>
      </c>
      <c r="F2168" s="6" t="s">
        <v>1182</v>
      </c>
      <c r="G2168" s="7" t="str">
        <f aca="false">HYPERLINK(CONCATENATE("http://crfop.gdos.gov.pl/CRFOP/widok/viewpomnikprzyrody.jsf?fop=","PL.ZIPOP.1393.PP.1061011.5213"),"(kliknij lub Ctrl+kliknij)")</f>
        <v>(kliknij lub Ctrl+kliknij)</v>
      </c>
      <c r="H2168" s="0" t="s">
        <v>1075</v>
      </c>
    </row>
    <row r="2169" customFormat="false" ht="80.35" hidden="false" customHeight="false" outlineLevel="0" collapsed="false">
      <c r="A2169" s="1" t="s">
        <v>569</v>
      </c>
      <c r="C2169" s="3" t="s">
        <v>1179</v>
      </c>
      <c r="F2169" s="10" t="s">
        <v>1182</v>
      </c>
      <c r="G2169" s="7" t="str">
        <f aca="false">HYPERLINK(CONCATENATE("http://crfop.gdos.gov.pl/CRFOP/widok/viewpomnikprzyrody.jsf?fop=","PL.ZIPOP.1393.PP.1061011.5214"),"(kliknij lub Ctrl+kliknij)")</f>
        <v>(kliknij lub Ctrl+kliknij)</v>
      </c>
      <c r="H2169" s="0" t="s">
        <v>1075</v>
      </c>
    </row>
    <row r="2170" customFormat="false" ht="12.8" hidden="false" customHeight="false" outlineLevel="0" collapsed="false">
      <c r="A2170" s="1" t="s">
        <v>569</v>
      </c>
      <c r="C2170" s="3" t="s">
        <v>1184</v>
      </c>
      <c r="F2170" s="6" t="s">
        <v>1185</v>
      </c>
      <c r="G2170" s="7" t="str">
        <f aca="false">HYPERLINK(CONCATENATE("http://crfop.gdos.gov.pl/CRFOP/widok/viewpomnikprzyrody.jsf?fop=","PL.ZIPOP.1393.PP.1012011.5216"),"(kliknij lub Ctrl+kliknij)")</f>
        <v>(kliknij lub Ctrl+kliknij)</v>
      </c>
      <c r="H2170" s="0" t="s">
        <v>793</v>
      </c>
    </row>
    <row r="2171" customFormat="false" ht="102.95" hidden="false" customHeight="false" outlineLevel="0" collapsed="false">
      <c r="A2171" s="1" t="s">
        <v>569</v>
      </c>
      <c r="C2171" s="3" t="s">
        <v>1186</v>
      </c>
      <c r="D2171" s="4" t="s">
        <v>571</v>
      </c>
      <c r="F2171" s="10" t="s">
        <v>1187</v>
      </c>
      <c r="G2171" s="7" t="str">
        <f aca="false">HYPERLINK(CONCATENATE("http://crfop.gdos.gov.pl/CRFOP/widok/viewpomnikprzyrody.jsf?fop=","PL.ZIPOP.1393.PP.1016011.5217"),"(kliknij lub Ctrl+kliknij)")</f>
        <v>(kliknij lub Ctrl+kliknij)</v>
      </c>
      <c r="H2171" s="0" t="s">
        <v>902</v>
      </c>
    </row>
    <row r="2172" customFormat="false" ht="102.95" hidden="false" customHeight="false" outlineLevel="0" collapsed="false">
      <c r="A2172" s="1" t="s">
        <v>569</v>
      </c>
      <c r="C2172" s="3" t="s">
        <v>1186</v>
      </c>
      <c r="D2172" s="4" t="s">
        <v>571</v>
      </c>
      <c r="F2172" s="10" t="s">
        <v>1187</v>
      </c>
      <c r="G2172" s="7" t="str">
        <f aca="false">HYPERLINK(CONCATENATE("http://crfop.gdos.gov.pl/CRFOP/widok/viewpomnikprzyrody.jsf?fop=","PL.ZIPOP.1393.PP.1016011.5218"),"(kliknij lub Ctrl+kliknij)")</f>
        <v>(kliknij lub Ctrl+kliknij)</v>
      </c>
      <c r="H2172" s="0" t="s">
        <v>902</v>
      </c>
    </row>
    <row r="2173" customFormat="false" ht="102.95" hidden="false" customHeight="false" outlineLevel="0" collapsed="false">
      <c r="A2173" s="1" t="s">
        <v>569</v>
      </c>
      <c r="C2173" s="3" t="s">
        <v>1186</v>
      </c>
      <c r="D2173" s="4" t="s">
        <v>571</v>
      </c>
      <c r="F2173" s="10" t="s">
        <v>1187</v>
      </c>
      <c r="G2173" s="7" t="str">
        <f aca="false">HYPERLINK(CONCATENATE("http://crfop.gdos.gov.pl/CRFOP/widok/viewpomnikprzyrody.jsf?fop=","PL.ZIPOP.1393.PP.1016011.5219"),"(kliknij lub Ctrl+kliknij)")</f>
        <v>(kliknij lub Ctrl+kliknij)</v>
      </c>
      <c r="H2173" s="0" t="s">
        <v>902</v>
      </c>
    </row>
    <row r="2174" customFormat="false" ht="102.95" hidden="false" customHeight="false" outlineLevel="0" collapsed="false">
      <c r="A2174" s="1" t="s">
        <v>569</v>
      </c>
      <c r="C2174" s="3" t="s">
        <v>1186</v>
      </c>
      <c r="D2174" s="4" t="s">
        <v>571</v>
      </c>
      <c r="F2174" s="10" t="s">
        <v>1187</v>
      </c>
      <c r="G2174" s="7" t="str">
        <f aca="false">HYPERLINK(CONCATENATE("http://crfop.gdos.gov.pl/CRFOP/widok/viewpomnikprzyrody.jsf?fop=","PL.ZIPOP.1393.PP.1016011.5220"),"(kliknij lub Ctrl+kliknij)")</f>
        <v>(kliknij lub Ctrl+kliknij)</v>
      </c>
      <c r="H2174" s="0" t="s">
        <v>902</v>
      </c>
    </row>
    <row r="2175" customFormat="false" ht="102.95" hidden="false" customHeight="false" outlineLevel="0" collapsed="false">
      <c r="A2175" s="1" t="s">
        <v>569</v>
      </c>
      <c r="C2175" s="3" t="s">
        <v>1186</v>
      </c>
      <c r="D2175" s="4" t="s">
        <v>571</v>
      </c>
      <c r="F2175" s="10" t="s">
        <v>1187</v>
      </c>
      <c r="G2175" s="7" t="str">
        <f aca="false">HYPERLINK(CONCATENATE("http://crfop.gdos.gov.pl/CRFOP/widok/viewpomnikprzyrody.jsf?fop=","PL.ZIPOP.1393.PP.1016011.5221"),"(kliknij lub Ctrl+kliknij)")</f>
        <v>(kliknij lub Ctrl+kliknij)</v>
      </c>
      <c r="H2175" s="0" t="s">
        <v>902</v>
      </c>
    </row>
    <row r="2176" customFormat="false" ht="12.8" hidden="false" customHeight="false" outlineLevel="0" collapsed="false">
      <c r="A2176" s="1" t="s">
        <v>569</v>
      </c>
      <c r="C2176" s="3" t="s">
        <v>584</v>
      </c>
      <c r="D2176" s="4" t="s">
        <v>571</v>
      </c>
      <c r="F2176" s="6" t="s">
        <v>585</v>
      </c>
      <c r="G2176" s="7" t="str">
        <f aca="false">HYPERLINK(CONCATENATE("http://crfop.gdos.gov.pl/CRFOP/widok/viewpomnikprzyrody.jsf?fop=","PL.ZIPOP.1393.PP.1003023.5222"),"(kliknij lub Ctrl+kliknij)")</f>
        <v>(kliknij lub Ctrl+kliknij)</v>
      </c>
      <c r="H2176" s="0" t="s">
        <v>642</v>
      </c>
    </row>
    <row r="2177" customFormat="false" ht="80.35" hidden="false" customHeight="false" outlineLevel="0" collapsed="false">
      <c r="A2177" s="1" t="s">
        <v>569</v>
      </c>
      <c r="C2177" s="3" t="s">
        <v>570</v>
      </c>
      <c r="D2177" s="4" t="s">
        <v>571</v>
      </c>
      <c r="F2177" s="10" t="s">
        <v>1188</v>
      </c>
      <c r="G2177" s="7" t="str">
        <f aca="false">HYPERLINK(CONCATENATE("http://crfop.gdos.gov.pl/CRFOP/widok/viewpomnikprzyrody.jsf?fop=","PL.ZIPOP.1393.PP.1062011.5223"),"(kliknij lub Ctrl+kliknij)")</f>
        <v>(kliknij lub Ctrl+kliknij)</v>
      </c>
      <c r="H2177" s="0" t="s">
        <v>1096</v>
      </c>
    </row>
    <row r="2178" customFormat="false" ht="80.35" hidden="false" customHeight="false" outlineLevel="0" collapsed="false">
      <c r="A2178" s="1" t="s">
        <v>569</v>
      </c>
      <c r="C2178" s="3" t="s">
        <v>570</v>
      </c>
      <c r="D2178" s="4" t="s">
        <v>571</v>
      </c>
      <c r="F2178" s="10" t="s">
        <v>1188</v>
      </c>
      <c r="G2178" s="7" t="str">
        <f aca="false">HYPERLINK(CONCATENATE("http://crfop.gdos.gov.pl/CRFOP/widok/viewpomnikprzyrody.jsf?fop=","PL.ZIPOP.1393.PP.1062011.5224"),"(kliknij lub Ctrl+kliknij)")</f>
        <v>(kliknij lub Ctrl+kliknij)</v>
      </c>
      <c r="H2178" s="0" t="s">
        <v>1096</v>
      </c>
    </row>
    <row r="2179" customFormat="false" ht="80.35" hidden="false" customHeight="false" outlineLevel="0" collapsed="false">
      <c r="A2179" s="1" t="s">
        <v>569</v>
      </c>
      <c r="C2179" s="3" t="s">
        <v>570</v>
      </c>
      <c r="D2179" s="4" t="s">
        <v>571</v>
      </c>
      <c r="F2179" s="10" t="s">
        <v>1188</v>
      </c>
      <c r="G2179" s="7" t="str">
        <f aca="false">HYPERLINK(CONCATENATE("http://crfop.gdos.gov.pl/CRFOP/widok/viewpomnikprzyrody.jsf?fop=","PL.ZIPOP.1393.PP.1062011.5225"),"(kliknij lub Ctrl+kliknij)")</f>
        <v>(kliknij lub Ctrl+kliknij)</v>
      </c>
      <c r="H2179" s="0" t="s">
        <v>1096</v>
      </c>
    </row>
    <row r="2180" customFormat="false" ht="80.35" hidden="false" customHeight="false" outlineLevel="0" collapsed="false">
      <c r="A2180" s="1" t="s">
        <v>569</v>
      </c>
      <c r="C2180" s="3" t="s">
        <v>570</v>
      </c>
      <c r="D2180" s="4" t="s">
        <v>571</v>
      </c>
      <c r="F2180" s="10" t="s">
        <v>1188</v>
      </c>
      <c r="G2180" s="7" t="str">
        <f aca="false">HYPERLINK(CONCATENATE("http://crfop.gdos.gov.pl/CRFOP/widok/viewpomnikprzyrody.jsf?fop=","PL.ZIPOP.1393.PP.1062011.5226"),"(kliknij lub Ctrl+kliknij)")</f>
        <v>(kliknij lub Ctrl+kliknij)</v>
      </c>
      <c r="H2180" s="0" t="s">
        <v>1096</v>
      </c>
    </row>
    <row r="2181" customFormat="false" ht="80.35" hidden="false" customHeight="false" outlineLevel="0" collapsed="false">
      <c r="A2181" s="1" t="s">
        <v>569</v>
      </c>
      <c r="B2181" s="2" t="s">
        <v>852</v>
      </c>
      <c r="C2181" s="3" t="s">
        <v>1189</v>
      </c>
      <c r="D2181" s="4" t="s">
        <v>1190</v>
      </c>
      <c r="F2181" s="10" t="s">
        <v>1191</v>
      </c>
      <c r="G2181" s="7" t="str">
        <f aca="false">HYPERLINK(CONCATENATE("http://crfop.gdos.gov.pl/CRFOP/widok/viewpomnikprzyrody.jsf?fop=","PL.ZIPOP.1393.PP.1011043.5228"),"(kliknij lub Ctrl+kliknij)")</f>
        <v>(kliknij lub Ctrl+kliknij)</v>
      </c>
      <c r="H2181" s="0" t="s">
        <v>787</v>
      </c>
    </row>
    <row r="2182" customFormat="false" ht="12.8" hidden="false" customHeight="false" outlineLevel="0" collapsed="false">
      <c r="A2182" s="1" t="s">
        <v>1192</v>
      </c>
      <c r="C2182" s="3" t="s">
        <v>1193</v>
      </c>
      <c r="D2182" s="4" t="s">
        <v>1194</v>
      </c>
      <c r="F2182" s="6" t="s">
        <v>1195</v>
      </c>
      <c r="G2182" s="7" t="str">
        <f aca="false">HYPERLINK(CONCATENATE("http://crfop.gdos.gov.pl/CRFOP/widok/viewuzytekekologiczny.jsf?fop=","PL.ZIPOP.1393.UE.1001011.578"),"(kliknij lub Ctrl+kliknij)")</f>
        <v>(kliknij lub Ctrl+kliknij)</v>
      </c>
      <c r="H2182" s="0" t="s">
        <v>573</v>
      </c>
    </row>
    <row r="2183" customFormat="false" ht="12.8" hidden="false" customHeight="false" outlineLevel="0" collapsed="false">
      <c r="A2183" s="1" t="s">
        <v>1192</v>
      </c>
      <c r="C2183" s="3" t="s">
        <v>1193</v>
      </c>
      <c r="D2183" s="4" t="s">
        <v>1196</v>
      </c>
      <c r="F2183" s="6" t="s">
        <v>1195</v>
      </c>
      <c r="G2183" s="7" t="str">
        <f aca="false">HYPERLINK(CONCATENATE("http://crfop.gdos.gov.pl/CRFOP/widok/viewuzytekekologiczny.jsf?fop=","PL.ZIPOP.1393.UE.1001011.579"),"(kliknij lub Ctrl+kliknij)")</f>
        <v>(kliknij lub Ctrl+kliknij)</v>
      </c>
      <c r="H2183" s="0" t="s">
        <v>573</v>
      </c>
    </row>
    <row r="2184" customFormat="false" ht="12.8" hidden="false" customHeight="false" outlineLevel="0" collapsed="false">
      <c r="A2184" s="1" t="s">
        <v>1192</v>
      </c>
      <c r="C2184" s="3" t="s">
        <v>574</v>
      </c>
      <c r="D2184" s="4" t="s">
        <v>1197</v>
      </c>
      <c r="F2184" s="6" t="s">
        <v>1198</v>
      </c>
      <c r="G2184" s="7" t="str">
        <f aca="false">HYPERLINK(CONCATENATE("http://crfop.gdos.gov.pl/CRFOP/widok/viewuzytekekologiczny.jsf?fop=","PL.ZIPOP.1393.UE.1001022.564"),"(kliknij lub Ctrl+kliknij)")</f>
        <v>(kliknij lub Ctrl+kliknij)</v>
      </c>
      <c r="H2184" s="0" t="s">
        <v>573</v>
      </c>
    </row>
    <row r="2185" customFormat="false" ht="12.8" hidden="false" customHeight="false" outlineLevel="0" collapsed="false">
      <c r="A2185" s="1" t="s">
        <v>1192</v>
      </c>
      <c r="C2185" s="3" t="s">
        <v>574</v>
      </c>
      <c r="D2185" s="4" t="s">
        <v>1199</v>
      </c>
      <c r="F2185" s="6" t="s">
        <v>1198</v>
      </c>
      <c r="G2185" s="7" t="str">
        <f aca="false">HYPERLINK(CONCATENATE("http://crfop.gdos.gov.pl/CRFOP/widok/viewuzytekekologiczny.jsf?fop=","PL.ZIPOP.1393.UE.1001022.565"),"(kliknij lub Ctrl+kliknij)")</f>
        <v>(kliknij lub Ctrl+kliknij)</v>
      </c>
      <c r="H2185" s="0" t="s">
        <v>573</v>
      </c>
    </row>
    <row r="2186" customFormat="false" ht="12.8" hidden="false" customHeight="false" outlineLevel="0" collapsed="false">
      <c r="A2186" s="1" t="s">
        <v>1192</v>
      </c>
      <c r="C2186" s="3" t="s">
        <v>1193</v>
      </c>
      <c r="D2186" s="4" t="s">
        <v>1200</v>
      </c>
      <c r="F2186" s="6" t="s">
        <v>1195</v>
      </c>
      <c r="G2186" s="7" t="str">
        <f aca="false">HYPERLINK(CONCATENATE("http://crfop.gdos.gov.pl/CRFOP/widok/viewuzytekekologiczny.jsf?fop=","PL.ZIPOP.1393.UE.1001022.566"),"(kliknij lub Ctrl+kliknij)")</f>
        <v>(kliknij lub Ctrl+kliknij)</v>
      </c>
      <c r="H2186" s="0" t="s">
        <v>573</v>
      </c>
    </row>
    <row r="2187" customFormat="false" ht="12.8" hidden="false" customHeight="false" outlineLevel="0" collapsed="false">
      <c r="A2187" s="1" t="s">
        <v>1192</v>
      </c>
      <c r="C2187" s="3" t="s">
        <v>1193</v>
      </c>
      <c r="D2187" s="4" t="s">
        <v>1201</v>
      </c>
      <c r="F2187" s="6" t="s">
        <v>1195</v>
      </c>
      <c r="G2187" s="7" t="str">
        <f aca="false">HYPERLINK(CONCATENATE("http://crfop.gdos.gov.pl/CRFOP/widok/viewuzytekekologiczny.jsf?fop=","PL.ZIPOP.1393.UE.1001022.567"),"(kliknij lub Ctrl+kliknij)")</f>
        <v>(kliknij lub Ctrl+kliknij)</v>
      </c>
      <c r="H2187" s="0" t="s">
        <v>573</v>
      </c>
    </row>
    <row r="2188" customFormat="false" ht="12.8" hidden="false" customHeight="false" outlineLevel="0" collapsed="false">
      <c r="A2188" s="1" t="s">
        <v>1192</v>
      </c>
      <c r="C2188" s="3" t="s">
        <v>1193</v>
      </c>
      <c r="D2188" s="4" t="s">
        <v>1202</v>
      </c>
      <c r="F2188" s="6" t="s">
        <v>1195</v>
      </c>
      <c r="G2188" s="7" t="str">
        <f aca="false">HYPERLINK(CONCATENATE("http://crfop.gdos.gov.pl/CRFOP/widok/viewuzytekekologiczny.jsf?fop=","PL.ZIPOP.1393.UE.1001022.568"),"(kliknij lub Ctrl+kliknij)")</f>
        <v>(kliknij lub Ctrl+kliknij)</v>
      </c>
      <c r="H2188" s="0" t="s">
        <v>573</v>
      </c>
    </row>
    <row r="2189" customFormat="false" ht="12.8" hidden="false" customHeight="false" outlineLevel="0" collapsed="false">
      <c r="A2189" s="1" t="s">
        <v>1192</v>
      </c>
      <c r="C2189" s="3" t="s">
        <v>1193</v>
      </c>
      <c r="D2189" s="4" t="s">
        <v>1203</v>
      </c>
      <c r="F2189" s="6" t="s">
        <v>1195</v>
      </c>
      <c r="G2189" s="7" t="str">
        <f aca="false">HYPERLINK(CONCATENATE("http://crfop.gdos.gov.pl/CRFOP/widok/viewuzytekekologiczny.jsf?fop=","PL.ZIPOP.1393.UE.1001022.569"),"(kliknij lub Ctrl+kliknij)")</f>
        <v>(kliknij lub Ctrl+kliknij)</v>
      </c>
      <c r="H2189" s="0" t="s">
        <v>573</v>
      </c>
    </row>
    <row r="2190" customFormat="false" ht="12.8" hidden="false" customHeight="false" outlineLevel="0" collapsed="false">
      <c r="A2190" s="1" t="s">
        <v>1192</v>
      </c>
      <c r="C2190" s="3" t="s">
        <v>1193</v>
      </c>
      <c r="D2190" s="4" t="s">
        <v>1204</v>
      </c>
      <c r="F2190" s="6" t="s">
        <v>1195</v>
      </c>
      <c r="G2190" s="7" t="str">
        <f aca="false">HYPERLINK(CONCATENATE("http://crfop.gdos.gov.pl/CRFOP/widok/viewuzytekekologiczny.jsf?fop=","PL.ZIPOP.1393.UE.1001022.570"),"(kliknij lub Ctrl+kliknij)")</f>
        <v>(kliknij lub Ctrl+kliknij)</v>
      </c>
      <c r="H2190" s="0" t="s">
        <v>573</v>
      </c>
    </row>
    <row r="2191" customFormat="false" ht="12.8" hidden="false" customHeight="false" outlineLevel="0" collapsed="false">
      <c r="A2191" s="1" t="s">
        <v>1192</v>
      </c>
      <c r="C2191" s="3" t="s">
        <v>1193</v>
      </c>
      <c r="D2191" s="4" t="s">
        <v>1205</v>
      </c>
      <c r="F2191" s="6" t="s">
        <v>1195</v>
      </c>
      <c r="G2191" s="7" t="str">
        <f aca="false">HYPERLINK(CONCATENATE("http://crfop.gdos.gov.pl/CRFOP/widok/viewuzytekekologiczny.jsf?fop=","PL.ZIPOP.1393.UE.1001022.571"),"(kliknij lub Ctrl+kliknij)")</f>
        <v>(kliknij lub Ctrl+kliknij)</v>
      </c>
      <c r="H2191" s="0" t="s">
        <v>573</v>
      </c>
    </row>
    <row r="2192" customFormat="false" ht="12.8" hidden="false" customHeight="false" outlineLevel="0" collapsed="false">
      <c r="A2192" s="1" t="s">
        <v>1192</v>
      </c>
      <c r="C2192" s="3" t="s">
        <v>1193</v>
      </c>
      <c r="D2192" s="4" t="s">
        <v>1205</v>
      </c>
      <c r="F2192" s="6" t="s">
        <v>1195</v>
      </c>
      <c r="G2192" s="7" t="str">
        <f aca="false">HYPERLINK(CONCATENATE("http://crfop.gdos.gov.pl/CRFOP/widok/viewuzytekekologiczny.jsf?fop=","PL.ZIPOP.1393.UE.1001022.572"),"(kliknij lub Ctrl+kliknij)")</f>
        <v>(kliknij lub Ctrl+kliknij)</v>
      </c>
      <c r="H2192" s="0" t="s">
        <v>573</v>
      </c>
    </row>
    <row r="2193" customFormat="false" ht="12.8" hidden="false" customHeight="false" outlineLevel="0" collapsed="false">
      <c r="A2193" s="1" t="s">
        <v>1192</v>
      </c>
      <c r="C2193" s="3" t="s">
        <v>1193</v>
      </c>
      <c r="D2193" s="4" t="s">
        <v>1206</v>
      </c>
      <c r="F2193" s="6" t="s">
        <v>1195</v>
      </c>
      <c r="G2193" s="7" t="str">
        <f aca="false">HYPERLINK(CONCATENATE("http://crfop.gdos.gov.pl/CRFOP/widok/viewuzytekekologiczny.jsf?fop=","PL.ZIPOP.1393.UE.1001022.573"),"(kliknij lub Ctrl+kliknij)")</f>
        <v>(kliknij lub Ctrl+kliknij)</v>
      </c>
      <c r="H2193" s="0" t="s">
        <v>573</v>
      </c>
    </row>
    <row r="2194" customFormat="false" ht="12.8" hidden="false" customHeight="false" outlineLevel="0" collapsed="false">
      <c r="A2194" s="1" t="s">
        <v>1192</v>
      </c>
      <c r="C2194" s="3" t="s">
        <v>1193</v>
      </c>
      <c r="D2194" s="4" t="s">
        <v>1207</v>
      </c>
      <c r="F2194" s="6" t="s">
        <v>1195</v>
      </c>
      <c r="G2194" s="7" t="str">
        <f aca="false">HYPERLINK(CONCATENATE("http://crfop.gdos.gov.pl/CRFOP/widok/viewuzytekekologiczny.jsf?fop=","PL.ZIPOP.1393.UE.1001022.574"),"(kliknij lub Ctrl+kliknij)")</f>
        <v>(kliknij lub Ctrl+kliknij)</v>
      </c>
      <c r="H2194" s="0" t="s">
        <v>573</v>
      </c>
    </row>
    <row r="2195" customFormat="false" ht="12.8" hidden="false" customHeight="false" outlineLevel="0" collapsed="false">
      <c r="A2195" s="1" t="s">
        <v>1192</v>
      </c>
      <c r="C2195" s="3" t="s">
        <v>1193</v>
      </c>
      <c r="D2195" s="4" t="s">
        <v>1208</v>
      </c>
      <c r="F2195" s="6" t="s">
        <v>1195</v>
      </c>
      <c r="G2195" s="7" t="str">
        <f aca="false">HYPERLINK(CONCATENATE("http://crfop.gdos.gov.pl/CRFOP/widok/viewuzytekekologiczny.jsf?fop=","PL.ZIPOP.1393.UE.1001022.575"),"(kliknij lub Ctrl+kliknij)")</f>
        <v>(kliknij lub Ctrl+kliknij)</v>
      </c>
      <c r="H2195" s="0" t="s">
        <v>573</v>
      </c>
    </row>
    <row r="2196" customFormat="false" ht="12.8" hidden="false" customHeight="false" outlineLevel="0" collapsed="false">
      <c r="A2196" s="1" t="s">
        <v>1192</v>
      </c>
      <c r="C2196" s="3" t="s">
        <v>1193</v>
      </c>
      <c r="D2196" s="4" t="s">
        <v>1209</v>
      </c>
      <c r="F2196" s="6" t="s">
        <v>1195</v>
      </c>
      <c r="G2196" s="7" t="str">
        <f aca="false">HYPERLINK(CONCATENATE("http://crfop.gdos.gov.pl/CRFOP/widok/viewuzytekekologiczny.jsf?fop=","PL.ZIPOP.1393.UE.1001022.576"),"(kliknij lub Ctrl+kliknij)")</f>
        <v>(kliknij lub Ctrl+kliknij)</v>
      </c>
      <c r="H2196" s="0" t="s">
        <v>573</v>
      </c>
    </row>
    <row r="2197" customFormat="false" ht="12.8" hidden="false" customHeight="false" outlineLevel="0" collapsed="false">
      <c r="A2197" s="1" t="s">
        <v>1192</v>
      </c>
      <c r="C2197" s="3" t="s">
        <v>1193</v>
      </c>
      <c r="D2197" s="4" t="s">
        <v>1203</v>
      </c>
      <c r="F2197" s="6" t="s">
        <v>1195</v>
      </c>
      <c r="G2197" s="7" t="str">
        <f aca="false">HYPERLINK(CONCATENATE("http://crfop.gdos.gov.pl/CRFOP/widok/viewuzytekekologiczny.jsf?fop=","PL.ZIPOP.1393.UE.1001022.577"),"(kliknij lub Ctrl+kliknij)")</f>
        <v>(kliknij lub Ctrl+kliknij)</v>
      </c>
      <c r="H2197" s="0" t="s">
        <v>573</v>
      </c>
    </row>
    <row r="2198" customFormat="false" ht="12.8" hidden="false" customHeight="false" outlineLevel="0" collapsed="false">
      <c r="A2198" s="1" t="s">
        <v>1192</v>
      </c>
      <c r="C2198" s="3" t="s">
        <v>1193</v>
      </c>
      <c r="D2198" s="4" t="s">
        <v>1210</v>
      </c>
      <c r="F2198" s="6" t="s">
        <v>1195</v>
      </c>
      <c r="G2198" s="7" t="str">
        <f aca="false">HYPERLINK(CONCATENATE("http://crfop.gdos.gov.pl/CRFOP/widok/viewuzytekekologiczny.jsf?fop=","PL.ZIPOP.1393.UE.1001032.580"),"(kliknij lub Ctrl+kliknij)")</f>
        <v>(kliknij lub Ctrl+kliknij)</v>
      </c>
      <c r="H2198" s="0" t="s">
        <v>579</v>
      </c>
    </row>
    <row r="2199" customFormat="false" ht="12.8" hidden="false" customHeight="false" outlineLevel="0" collapsed="false">
      <c r="A2199" s="1" t="s">
        <v>1192</v>
      </c>
      <c r="C2199" s="3" t="s">
        <v>1193</v>
      </c>
      <c r="D2199" s="4" t="s">
        <v>1211</v>
      </c>
      <c r="F2199" s="6" t="s">
        <v>1195</v>
      </c>
      <c r="G2199" s="7" t="str">
        <f aca="false">HYPERLINK(CONCATENATE("http://crfop.gdos.gov.pl/CRFOP/widok/viewuzytekekologiczny.jsf?fop=","PL.ZIPOP.1393.UE.1001032.581"),"(kliknij lub Ctrl+kliknij)")</f>
        <v>(kliknij lub Ctrl+kliknij)</v>
      </c>
      <c r="H2199" s="0" t="s">
        <v>579</v>
      </c>
    </row>
    <row r="2200" customFormat="false" ht="12.8" hidden="false" customHeight="false" outlineLevel="0" collapsed="false">
      <c r="A2200" s="1" t="s">
        <v>1192</v>
      </c>
      <c r="C2200" s="3" t="s">
        <v>1193</v>
      </c>
      <c r="D2200" s="4" t="s">
        <v>1212</v>
      </c>
      <c r="F2200" s="6" t="s">
        <v>1195</v>
      </c>
      <c r="G2200" s="7" t="str">
        <f aca="false">HYPERLINK(CONCATENATE("http://crfop.gdos.gov.pl/CRFOP/widok/viewuzytekekologiczny.jsf?fop=","PL.ZIPOP.1393.UE.1001032.582"),"(kliknij lub Ctrl+kliknij)")</f>
        <v>(kliknij lub Ctrl+kliknij)</v>
      </c>
      <c r="H2200" s="0" t="s">
        <v>579</v>
      </c>
    </row>
    <row r="2201" customFormat="false" ht="12.8" hidden="false" customHeight="false" outlineLevel="0" collapsed="false">
      <c r="A2201" s="1" t="s">
        <v>1192</v>
      </c>
      <c r="C2201" s="3" t="s">
        <v>1193</v>
      </c>
      <c r="D2201" s="4" t="s">
        <v>1213</v>
      </c>
      <c r="F2201" s="6" t="s">
        <v>1195</v>
      </c>
      <c r="G2201" s="7" t="str">
        <f aca="false">HYPERLINK(CONCATENATE("http://crfop.gdos.gov.pl/CRFOP/widok/viewuzytekekologiczny.jsf?fop=","PL.ZIPOP.1393.UE.1001032.583"),"(kliknij lub Ctrl+kliknij)")</f>
        <v>(kliknij lub Ctrl+kliknij)</v>
      </c>
      <c r="H2201" s="0" t="s">
        <v>579</v>
      </c>
    </row>
    <row r="2202" customFormat="false" ht="12.8" hidden="false" customHeight="false" outlineLevel="0" collapsed="false">
      <c r="A2202" s="1" t="s">
        <v>1192</v>
      </c>
      <c r="C2202" s="3" t="s">
        <v>1193</v>
      </c>
      <c r="D2202" s="4" t="s">
        <v>1214</v>
      </c>
      <c r="F2202" s="6" t="s">
        <v>1195</v>
      </c>
      <c r="G2202" s="7" t="str">
        <f aca="false">HYPERLINK(CONCATENATE("http://crfop.gdos.gov.pl/CRFOP/widok/viewuzytekekologiczny.jsf?fop=","PL.ZIPOP.1393.UE.1001032.584"),"(kliknij lub Ctrl+kliknij)")</f>
        <v>(kliknij lub Ctrl+kliknij)</v>
      </c>
      <c r="H2202" s="0" t="s">
        <v>579</v>
      </c>
    </row>
    <row r="2203" customFormat="false" ht="12.8" hidden="false" customHeight="false" outlineLevel="0" collapsed="false">
      <c r="A2203" s="1" t="s">
        <v>1192</v>
      </c>
      <c r="C2203" s="3" t="s">
        <v>1193</v>
      </c>
      <c r="D2203" s="4" t="s">
        <v>1214</v>
      </c>
      <c r="F2203" s="6" t="s">
        <v>1195</v>
      </c>
      <c r="G2203" s="7" t="str">
        <f aca="false">HYPERLINK(CONCATENATE("http://crfop.gdos.gov.pl/CRFOP/widok/viewuzytekekologiczny.jsf?fop=","PL.ZIPOP.1393.UE.1001032.585"),"(kliknij lub Ctrl+kliknij)")</f>
        <v>(kliknij lub Ctrl+kliknij)</v>
      </c>
      <c r="H2203" s="0" t="s">
        <v>579</v>
      </c>
    </row>
    <row r="2204" customFormat="false" ht="12.8" hidden="false" customHeight="false" outlineLevel="0" collapsed="false">
      <c r="A2204" s="1" t="s">
        <v>1192</v>
      </c>
      <c r="C2204" s="3" t="s">
        <v>1193</v>
      </c>
      <c r="D2204" s="4" t="s">
        <v>444</v>
      </c>
      <c r="F2204" s="6" t="s">
        <v>1195</v>
      </c>
      <c r="G2204" s="7" t="str">
        <f aca="false">HYPERLINK(CONCATENATE("http://crfop.gdos.gov.pl/CRFOP/widok/viewuzytekekologiczny.jsf?fop=","PL.ZIPOP.1393.UE.1001032.586"),"(kliknij lub Ctrl+kliknij)")</f>
        <v>(kliknij lub Ctrl+kliknij)</v>
      </c>
      <c r="H2204" s="0" t="s">
        <v>579</v>
      </c>
    </row>
    <row r="2205" customFormat="false" ht="12.8" hidden="false" customHeight="false" outlineLevel="0" collapsed="false">
      <c r="A2205" s="1" t="s">
        <v>1192</v>
      </c>
      <c r="C2205" s="3" t="s">
        <v>1193</v>
      </c>
      <c r="D2205" s="4" t="s">
        <v>1215</v>
      </c>
      <c r="F2205" s="6" t="s">
        <v>1195</v>
      </c>
      <c r="G2205" s="7" t="str">
        <f aca="false">HYPERLINK(CONCATENATE("http://crfop.gdos.gov.pl/CRFOP/widok/viewuzytekekologiczny.jsf?fop=","PL.ZIPOP.1393.UE.1001032.587"),"(kliknij lub Ctrl+kliknij)")</f>
        <v>(kliknij lub Ctrl+kliknij)</v>
      </c>
      <c r="H2205" s="0" t="s">
        <v>579</v>
      </c>
    </row>
    <row r="2206" customFormat="false" ht="12.8" hidden="false" customHeight="false" outlineLevel="0" collapsed="false">
      <c r="A2206" s="1" t="s">
        <v>1192</v>
      </c>
      <c r="C2206" s="3" t="s">
        <v>1193</v>
      </c>
      <c r="D2206" s="4" t="s">
        <v>1216</v>
      </c>
      <c r="F2206" s="6" t="s">
        <v>1195</v>
      </c>
      <c r="G2206" s="7" t="str">
        <f aca="false">HYPERLINK(CONCATENATE("http://crfop.gdos.gov.pl/CRFOP/widok/viewuzytekekologiczny.jsf?fop=","PL.ZIPOP.1393.UE.1001032.588"),"(kliknij lub Ctrl+kliknij)")</f>
        <v>(kliknij lub Ctrl+kliknij)</v>
      </c>
      <c r="H2206" s="0" t="s">
        <v>579</v>
      </c>
    </row>
    <row r="2207" customFormat="false" ht="12.8" hidden="false" customHeight="false" outlineLevel="0" collapsed="false">
      <c r="A2207" s="1" t="s">
        <v>1192</v>
      </c>
      <c r="C2207" s="3" t="s">
        <v>1193</v>
      </c>
      <c r="D2207" s="4" t="s">
        <v>1217</v>
      </c>
      <c r="F2207" s="6" t="s">
        <v>1195</v>
      </c>
      <c r="G2207" s="7" t="str">
        <f aca="false">HYPERLINK(CONCATENATE("http://crfop.gdos.gov.pl/CRFOP/widok/viewuzytekekologiczny.jsf?fop=","PL.ZIPOP.1393.UE.1001032.589"),"(kliknij lub Ctrl+kliknij)")</f>
        <v>(kliknij lub Ctrl+kliknij)</v>
      </c>
      <c r="H2207" s="0" t="s">
        <v>579</v>
      </c>
    </row>
    <row r="2208" customFormat="false" ht="12.8" hidden="false" customHeight="false" outlineLevel="0" collapsed="false">
      <c r="A2208" s="1" t="s">
        <v>1192</v>
      </c>
      <c r="C2208" s="3" t="s">
        <v>1193</v>
      </c>
      <c r="D2208" s="4" t="s">
        <v>1218</v>
      </c>
      <c r="F2208" s="6" t="s">
        <v>1195</v>
      </c>
      <c r="G2208" s="7" t="str">
        <f aca="false">HYPERLINK(CONCATENATE("http://crfop.gdos.gov.pl/CRFOP/widok/viewuzytekekologiczny.jsf?fop=","PL.ZIPOP.1393.UE.1001042.594"),"(kliknij lub Ctrl+kliknij)")</f>
        <v>(kliknij lub Ctrl+kliknij)</v>
      </c>
      <c r="H2208" s="0" t="s">
        <v>1219</v>
      </c>
    </row>
    <row r="2209" customFormat="false" ht="12.8" hidden="false" customHeight="false" outlineLevel="0" collapsed="false">
      <c r="A2209" s="1" t="s">
        <v>1192</v>
      </c>
      <c r="C2209" s="3" t="s">
        <v>1193</v>
      </c>
      <c r="D2209" s="4" t="s">
        <v>1220</v>
      </c>
      <c r="F2209" s="6" t="s">
        <v>1195</v>
      </c>
      <c r="G2209" s="7" t="str">
        <f aca="false">HYPERLINK(CONCATENATE("http://crfop.gdos.gov.pl/CRFOP/widok/viewuzytekekologiczny.jsf?fop=","PL.ZIPOP.1393.UE.1001042.595"),"(kliknij lub Ctrl+kliknij)")</f>
        <v>(kliknij lub Ctrl+kliknij)</v>
      </c>
      <c r="H2209" s="0" t="s">
        <v>1219</v>
      </c>
    </row>
    <row r="2210" customFormat="false" ht="12.8" hidden="false" customHeight="false" outlineLevel="0" collapsed="false">
      <c r="A2210" s="1" t="s">
        <v>1192</v>
      </c>
      <c r="C2210" s="3" t="s">
        <v>1193</v>
      </c>
      <c r="D2210" s="4" t="s">
        <v>1221</v>
      </c>
      <c r="F2210" s="6" t="s">
        <v>1195</v>
      </c>
      <c r="G2210" s="7" t="str">
        <f aca="false">HYPERLINK(CONCATENATE("http://crfop.gdos.gov.pl/CRFOP/widok/viewuzytekekologiczny.jsf?fop=","PL.ZIPOP.1393.UE.1001042.596"),"(kliknij lub Ctrl+kliknij)")</f>
        <v>(kliknij lub Ctrl+kliknij)</v>
      </c>
      <c r="H2210" s="0" t="s">
        <v>1219</v>
      </c>
    </row>
    <row r="2211" customFormat="false" ht="12.8" hidden="false" customHeight="false" outlineLevel="0" collapsed="false">
      <c r="A2211" s="1" t="s">
        <v>1192</v>
      </c>
      <c r="C2211" s="3" t="s">
        <v>1193</v>
      </c>
      <c r="D2211" s="4" t="s">
        <v>1222</v>
      </c>
      <c r="F2211" s="6" t="s">
        <v>1195</v>
      </c>
      <c r="G2211" s="7" t="str">
        <f aca="false">HYPERLINK(CONCATENATE("http://crfop.gdos.gov.pl/CRFOP/widok/viewuzytekekologiczny.jsf?fop=","PL.ZIPOP.1393.UE.1001042.597"),"(kliknij lub Ctrl+kliknij)")</f>
        <v>(kliknij lub Ctrl+kliknij)</v>
      </c>
      <c r="H2211" s="0" t="s">
        <v>1219</v>
      </c>
    </row>
    <row r="2212" customFormat="false" ht="12.8" hidden="false" customHeight="false" outlineLevel="0" collapsed="false">
      <c r="A2212" s="1" t="s">
        <v>1192</v>
      </c>
      <c r="C2212" s="3" t="s">
        <v>1193</v>
      </c>
      <c r="D2212" s="4" t="s">
        <v>1223</v>
      </c>
      <c r="F2212" s="6" t="s">
        <v>1195</v>
      </c>
      <c r="G2212" s="7" t="str">
        <f aca="false">HYPERLINK(CONCATENATE("http://crfop.gdos.gov.pl/CRFOP/widok/viewuzytekekologiczny.jsf?fop=","PL.ZIPOP.1393.UE.1001042.598"),"(kliknij lub Ctrl+kliknij)")</f>
        <v>(kliknij lub Ctrl+kliknij)</v>
      </c>
      <c r="H2212" s="0" t="s">
        <v>1219</v>
      </c>
    </row>
    <row r="2213" customFormat="false" ht="12.8" hidden="false" customHeight="false" outlineLevel="0" collapsed="false">
      <c r="A2213" s="1" t="s">
        <v>1192</v>
      </c>
      <c r="C2213" s="3" t="s">
        <v>1193</v>
      </c>
      <c r="D2213" s="4" t="s">
        <v>1207</v>
      </c>
      <c r="F2213" s="6" t="s">
        <v>1195</v>
      </c>
      <c r="G2213" s="7" t="str">
        <f aca="false">HYPERLINK(CONCATENATE("http://crfop.gdos.gov.pl/CRFOP/widok/viewuzytekekologiczny.jsf?fop=","PL.ZIPOP.1393.UE.1001042.599"),"(kliknij lub Ctrl+kliknij)")</f>
        <v>(kliknij lub Ctrl+kliknij)</v>
      </c>
      <c r="H2213" s="0" t="s">
        <v>1219</v>
      </c>
    </row>
    <row r="2214" customFormat="false" ht="12.8" hidden="false" customHeight="false" outlineLevel="0" collapsed="false">
      <c r="A2214" s="1" t="s">
        <v>1192</v>
      </c>
      <c r="C2214" s="3" t="s">
        <v>1193</v>
      </c>
      <c r="D2214" s="4" t="s">
        <v>1224</v>
      </c>
      <c r="F2214" s="6" t="s">
        <v>1195</v>
      </c>
      <c r="G2214" s="7" t="str">
        <f aca="false">HYPERLINK(CONCATENATE("http://crfop.gdos.gov.pl/CRFOP/widok/viewuzytekekologiczny.jsf?fop=","PL.ZIPOP.1393.UE.1001052.601"),"(kliknij lub Ctrl+kliknij)")</f>
        <v>(kliknij lub Ctrl+kliknij)</v>
      </c>
      <c r="H2214" s="0" t="s">
        <v>581</v>
      </c>
    </row>
    <row r="2215" customFormat="false" ht="12.8" hidden="false" customHeight="false" outlineLevel="0" collapsed="false">
      <c r="A2215" s="1" t="s">
        <v>1192</v>
      </c>
      <c r="C2215" s="3" t="s">
        <v>1193</v>
      </c>
      <c r="D2215" s="4" t="s">
        <v>1200</v>
      </c>
      <c r="F2215" s="6" t="s">
        <v>1195</v>
      </c>
      <c r="G2215" s="7" t="str">
        <f aca="false">HYPERLINK(CONCATENATE("http://crfop.gdos.gov.pl/CRFOP/widok/viewuzytekekologiczny.jsf?fop=","PL.ZIPOP.1393.UE.1001052.602"),"(kliknij lub Ctrl+kliknij)")</f>
        <v>(kliknij lub Ctrl+kliknij)</v>
      </c>
      <c r="H2215" s="0" t="s">
        <v>581</v>
      </c>
    </row>
    <row r="2216" customFormat="false" ht="12.8" hidden="false" customHeight="false" outlineLevel="0" collapsed="false">
      <c r="A2216" s="1" t="s">
        <v>1192</v>
      </c>
      <c r="C2216" s="3" t="s">
        <v>1193</v>
      </c>
      <c r="D2216" s="4" t="s">
        <v>1225</v>
      </c>
      <c r="F2216" s="6" t="s">
        <v>1195</v>
      </c>
      <c r="G2216" s="7" t="str">
        <f aca="false">HYPERLINK(CONCATENATE("http://crfop.gdos.gov.pl/CRFOP/widok/viewuzytekekologiczny.jsf?fop=","PL.ZIPOP.1393.UE.1001052.603"),"(kliknij lub Ctrl+kliknij)")</f>
        <v>(kliknij lub Ctrl+kliknij)</v>
      </c>
      <c r="H2216" s="0" t="s">
        <v>581</v>
      </c>
    </row>
    <row r="2217" customFormat="false" ht="12.8" hidden="false" customHeight="false" outlineLevel="0" collapsed="false">
      <c r="A2217" s="1" t="s">
        <v>1192</v>
      </c>
      <c r="C2217" s="3" t="s">
        <v>1193</v>
      </c>
      <c r="D2217" s="4" t="s">
        <v>1215</v>
      </c>
      <c r="F2217" s="6" t="s">
        <v>1195</v>
      </c>
      <c r="G2217" s="7" t="str">
        <f aca="false">HYPERLINK(CONCATENATE("http://crfop.gdos.gov.pl/CRFOP/widok/viewuzytekekologiczny.jsf?fop=","PL.ZIPOP.1393.UE.1001052.604"),"(kliknij lub Ctrl+kliknij)")</f>
        <v>(kliknij lub Ctrl+kliknij)</v>
      </c>
      <c r="H2217" s="0" t="s">
        <v>581</v>
      </c>
    </row>
    <row r="2218" customFormat="false" ht="12.8" hidden="false" customHeight="false" outlineLevel="0" collapsed="false">
      <c r="A2218" s="1" t="s">
        <v>1192</v>
      </c>
      <c r="C2218" s="3" t="s">
        <v>1193</v>
      </c>
      <c r="D2218" s="4" t="s">
        <v>1226</v>
      </c>
      <c r="F2218" s="6" t="s">
        <v>1195</v>
      </c>
      <c r="G2218" s="7" t="str">
        <f aca="false">HYPERLINK(CONCATENATE("http://crfop.gdos.gov.pl/CRFOP/widok/viewuzytekekologiczny.jsf?fop=","PL.ZIPOP.1393.UE.1001052.605"),"(kliknij lub Ctrl+kliknij)")</f>
        <v>(kliknij lub Ctrl+kliknij)</v>
      </c>
      <c r="H2218" s="0" t="s">
        <v>581</v>
      </c>
    </row>
    <row r="2219" customFormat="false" ht="12.8" hidden="false" customHeight="false" outlineLevel="0" collapsed="false">
      <c r="A2219" s="1" t="s">
        <v>1192</v>
      </c>
      <c r="C2219" s="3" t="s">
        <v>1193</v>
      </c>
      <c r="D2219" s="4" t="s">
        <v>1227</v>
      </c>
      <c r="F2219" s="6" t="s">
        <v>1195</v>
      </c>
      <c r="G2219" s="7" t="str">
        <f aca="false">HYPERLINK(CONCATENATE("http://crfop.gdos.gov.pl/CRFOP/widok/viewuzytekekologiczny.jsf?fop=","PL.ZIPOP.1393.UE.1001052.606"),"(kliknij lub Ctrl+kliknij)")</f>
        <v>(kliknij lub Ctrl+kliknij)</v>
      </c>
      <c r="H2219" s="0" t="s">
        <v>581</v>
      </c>
    </row>
    <row r="2220" customFormat="false" ht="12.8" hidden="false" customHeight="false" outlineLevel="0" collapsed="false">
      <c r="A2220" s="1" t="s">
        <v>1192</v>
      </c>
      <c r="C2220" s="3" t="s">
        <v>574</v>
      </c>
      <c r="D2220" s="4" t="s">
        <v>1228</v>
      </c>
      <c r="F2220" s="6" t="s">
        <v>1198</v>
      </c>
      <c r="G2220" s="7" t="str">
        <f aca="false">HYPERLINK(CONCATENATE("http://crfop.gdos.gov.pl/CRFOP/widok/viewuzytekekologiczny.jsf?fop=","PL.ZIPOP.1393.UE.1001052.607"),"(kliknij lub Ctrl+kliknij)")</f>
        <v>(kliknij lub Ctrl+kliknij)</v>
      </c>
      <c r="H2220" s="0" t="s">
        <v>581</v>
      </c>
    </row>
    <row r="2221" customFormat="false" ht="12.8" hidden="false" customHeight="false" outlineLevel="0" collapsed="false">
      <c r="A2221" s="1" t="s">
        <v>1192</v>
      </c>
      <c r="C2221" s="3" t="s">
        <v>1193</v>
      </c>
      <c r="D2221" s="4" t="s">
        <v>1223</v>
      </c>
      <c r="F2221" s="6" t="s">
        <v>1195</v>
      </c>
      <c r="G2221" s="7" t="str">
        <f aca="false">HYPERLINK(CONCATENATE("http://crfop.gdos.gov.pl/CRFOP/widok/viewuzytekekologiczny.jsf?fop=","PL.ZIPOP.1393.UE.1001052.608"),"(kliknij lub Ctrl+kliknij)")</f>
        <v>(kliknij lub Ctrl+kliknij)</v>
      </c>
      <c r="H2221" s="0" t="s">
        <v>581</v>
      </c>
    </row>
    <row r="2222" customFormat="false" ht="12.8" hidden="false" customHeight="false" outlineLevel="0" collapsed="false">
      <c r="A2222" s="1" t="s">
        <v>1192</v>
      </c>
      <c r="C2222" s="3" t="s">
        <v>1193</v>
      </c>
      <c r="D2222" s="4" t="s">
        <v>1207</v>
      </c>
      <c r="F2222" s="6" t="s">
        <v>1195</v>
      </c>
      <c r="G2222" s="7" t="str">
        <f aca="false">HYPERLINK(CONCATENATE("http://crfop.gdos.gov.pl/CRFOP/widok/viewuzytekekologiczny.jsf?fop=","PL.ZIPOP.1393.UE.1001052.609"),"(kliknij lub Ctrl+kliknij)")</f>
        <v>(kliknij lub Ctrl+kliknij)</v>
      </c>
      <c r="H2222" s="0" t="s">
        <v>581</v>
      </c>
    </row>
    <row r="2223" customFormat="false" ht="12.8" hidden="false" customHeight="false" outlineLevel="0" collapsed="false">
      <c r="A2223" s="1" t="s">
        <v>1192</v>
      </c>
      <c r="C2223" s="3" t="s">
        <v>1193</v>
      </c>
      <c r="D2223" s="4" t="s">
        <v>1229</v>
      </c>
      <c r="F2223" s="6" t="s">
        <v>1195</v>
      </c>
      <c r="G2223" s="7" t="str">
        <f aca="false">HYPERLINK(CONCATENATE("http://crfop.gdos.gov.pl/CRFOP/widok/viewuzytekekologiczny.jsf?fop=","PL.ZIPOP.1393.UE.1001052.610"),"(kliknij lub Ctrl+kliknij)")</f>
        <v>(kliknij lub Ctrl+kliknij)</v>
      </c>
      <c r="H2223" s="0" t="s">
        <v>581</v>
      </c>
    </row>
    <row r="2224" customFormat="false" ht="12.8" hidden="false" customHeight="false" outlineLevel="0" collapsed="false">
      <c r="A2224" s="1" t="s">
        <v>1192</v>
      </c>
      <c r="C2224" s="3" t="s">
        <v>1193</v>
      </c>
      <c r="D2224" s="4" t="s">
        <v>1230</v>
      </c>
      <c r="F2224" s="6" t="s">
        <v>1195</v>
      </c>
      <c r="G2224" s="7" t="str">
        <f aca="false">HYPERLINK(CONCATENATE("http://crfop.gdos.gov.pl/CRFOP/widok/viewuzytekekologiczny.jsf?fop=","PL.ZIPOP.1393.UE.1001052.611"),"(kliknij lub Ctrl+kliknij)")</f>
        <v>(kliknij lub Ctrl+kliknij)</v>
      </c>
      <c r="H2224" s="0" t="s">
        <v>581</v>
      </c>
    </row>
    <row r="2225" customFormat="false" ht="12.8" hidden="false" customHeight="false" outlineLevel="0" collapsed="false">
      <c r="A2225" s="1" t="s">
        <v>1192</v>
      </c>
      <c r="C2225" s="3" t="s">
        <v>1193</v>
      </c>
      <c r="D2225" s="4" t="s">
        <v>1220</v>
      </c>
      <c r="F2225" s="6" t="s">
        <v>1195</v>
      </c>
      <c r="G2225" s="7" t="str">
        <f aca="false">HYPERLINK(CONCATENATE("http://crfop.gdos.gov.pl/CRFOP/widok/viewuzytekekologiczny.jsf?fop=","PL.ZIPOP.1393.UE.1001052.612"),"(kliknij lub Ctrl+kliknij)")</f>
        <v>(kliknij lub Ctrl+kliknij)</v>
      </c>
      <c r="H2225" s="0" t="s">
        <v>581</v>
      </c>
    </row>
    <row r="2226" customFormat="false" ht="12.8" hidden="false" customHeight="false" outlineLevel="0" collapsed="false">
      <c r="A2226" s="1" t="s">
        <v>1192</v>
      </c>
      <c r="C2226" s="3" t="s">
        <v>1193</v>
      </c>
      <c r="D2226" s="4" t="s">
        <v>1231</v>
      </c>
      <c r="F2226" s="6" t="s">
        <v>1195</v>
      </c>
      <c r="G2226" s="7" t="str">
        <f aca="false">HYPERLINK(CONCATENATE("http://crfop.gdos.gov.pl/CRFOP/widok/viewuzytekekologiczny.jsf?fop=","PL.ZIPOP.1393.UE.1001052.613"),"(kliknij lub Ctrl+kliknij)")</f>
        <v>(kliknij lub Ctrl+kliknij)</v>
      </c>
      <c r="H2226" s="0" t="s">
        <v>581</v>
      </c>
    </row>
    <row r="2227" customFormat="false" ht="12.8" hidden="false" customHeight="false" outlineLevel="0" collapsed="false">
      <c r="A2227" s="1" t="s">
        <v>1192</v>
      </c>
      <c r="C2227" s="3" t="s">
        <v>1193</v>
      </c>
      <c r="D2227" s="4" t="s">
        <v>1232</v>
      </c>
      <c r="F2227" s="6" t="s">
        <v>1195</v>
      </c>
      <c r="G2227" s="7" t="str">
        <f aca="false">HYPERLINK(CONCATENATE("http://crfop.gdos.gov.pl/CRFOP/widok/viewuzytekekologiczny.jsf?fop=","PL.ZIPOP.1393.UE.1001052.614"),"(kliknij lub Ctrl+kliknij)")</f>
        <v>(kliknij lub Ctrl+kliknij)</v>
      </c>
      <c r="H2227" s="0" t="s">
        <v>581</v>
      </c>
    </row>
    <row r="2228" customFormat="false" ht="12.8" hidden="false" customHeight="false" outlineLevel="0" collapsed="false">
      <c r="A2228" s="1" t="s">
        <v>1192</v>
      </c>
      <c r="C2228" s="3" t="s">
        <v>1193</v>
      </c>
      <c r="D2228" s="4" t="s">
        <v>1215</v>
      </c>
      <c r="F2228" s="6" t="s">
        <v>1195</v>
      </c>
      <c r="G2228" s="7" t="str">
        <f aca="false">HYPERLINK(CONCATENATE("http://crfop.gdos.gov.pl/CRFOP/widok/viewuzytekekologiczny.jsf?fop=","PL.ZIPOP.1393.UE.1001052.615"),"(kliknij lub Ctrl+kliknij)")</f>
        <v>(kliknij lub Ctrl+kliknij)</v>
      </c>
      <c r="H2228" s="0" t="s">
        <v>581</v>
      </c>
    </row>
    <row r="2229" customFormat="false" ht="12.8" hidden="false" customHeight="false" outlineLevel="0" collapsed="false">
      <c r="A2229" s="1" t="s">
        <v>1192</v>
      </c>
      <c r="C2229" s="3" t="s">
        <v>1193</v>
      </c>
      <c r="D2229" s="4" t="s">
        <v>1211</v>
      </c>
      <c r="F2229" s="6" t="s">
        <v>1195</v>
      </c>
      <c r="G2229" s="7" t="str">
        <f aca="false">HYPERLINK(CONCATENATE("http://crfop.gdos.gov.pl/CRFOP/widok/viewuzytekekologiczny.jsf?fop=","PL.ZIPOP.1393.UE.1001052.616"),"(kliknij lub Ctrl+kliknij)")</f>
        <v>(kliknij lub Ctrl+kliknij)</v>
      </c>
      <c r="H2229" s="0" t="s">
        <v>581</v>
      </c>
    </row>
    <row r="2230" customFormat="false" ht="12.8" hidden="false" customHeight="false" outlineLevel="0" collapsed="false">
      <c r="A2230" s="1" t="s">
        <v>1192</v>
      </c>
      <c r="C2230" s="3" t="s">
        <v>1193</v>
      </c>
      <c r="D2230" s="4" t="s">
        <v>1233</v>
      </c>
      <c r="F2230" s="6" t="s">
        <v>1195</v>
      </c>
      <c r="G2230" s="7" t="str">
        <f aca="false">HYPERLINK(CONCATENATE("http://crfop.gdos.gov.pl/CRFOP/widok/viewuzytekekologiczny.jsf?fop=","PL.ZIPOP.1393.UE.1001052.617"),"(kliknij lub Ctrl+kliknij)")</f>
        <v>(kliknij lub Ctrl+kliknij)</v>
      </c>
      <c r="H2230" s="0" t="s">
        <v>581</v>
      </c>
    </row>
    <row r="2231" customFormat="false" ht="12.8" hidden="false" customHeight="false" outlineLevel="0" collapsed="false">
      <c r="A2231" s="1" t="s">
        <v>1192</v>
      </c>
      <c r="C2231" s="3" t="s">
        <v>1193</v>
      </c>
      <c r="D2231" s="4" t="s">
        <v>1234</v>
      </c>
      <c r="F2231" s="6" t="s">
        <v>1195</v>
      </c>
      <c r="G2231" s="7" t="str">
        <f aca="false">HYPERLINK(CONCATENATE("http://crfop.gdos.gov.pl/CRFOP/widok/viewuzytekekologiczny.jsf?fop=","PL.ZIPOP.1393.UE.1001052.618"),"(kliknij lub Ctrl+kliknij)")</f>
        <v>(kliknij lub Ctrl+kliknij)</v>
      </c>
      <c r="H2231" s="0" t="s">
        <v>581</v>
      </c>
    </row>
    <row r="2232" customFormat="false" ht="12.8" hidden="false" customHeight="false" outlineLevel="0" collapsed="false">
      <c r="A2232" s="1" t="s">
        <v>1192</v>
      </c>
      <c r="C2232" s="3" t="s">
        <v>1193</v>
      </c>
      <c r="D2232" s="4" t="s">
        <v>1235</v>
      </c>
      <c r="F2232" s="6" t="s">
        <v>1195</v>
      </c>
      <c r="G2232" s="7" t="str">
        <f aca="false">HYPERLINK(CONCATENATE("http://crfop.gdos.gov.pl/CRFOP/widok/viewuzytekekologiczny.jsf?fop=","PL.ZIPOP.1393.UE.1001052.619"),"(kliknij lub Ctrl+kliknij)")</f>
        <v>(kliknij lub Ctrl+kliknij)</v>
      </c>
      <c r="H2232" s="0" t="s">
        <v>581</v>
      </c>
    </row>
    <row r="2233" customFormat="false" ht="12.8" hidden="false" customHeight="false" outlineLevel="0" collapsed="false">
      <c r="A2233" s="1" t="s">
        <v>1192</v>
      </c>
      <c r="C2233" s="3" t="s">
        <v>1193</v>
      </c>
      <c r="D2233" s="4" t="s">
        <v>1236</v>
      </c>
      <c r="F2233" s="6" t="s">
        <v>1195</v>
      </c>
      <c r="G2233" s="7" t="str">
        <f aca="false">HYPERLINK(CONCATENATE("http://crfop.gdos.gov.pl/CRFOP/widok/viewuzytekekologiczny.jsf?fop=","PL.ZIPOP.1393.UE.1001052.620"),"(kliknij lub Ctrl+kliknij)")</f>
        <v>(kliknij lub Ctrl+kliknij)</v>
      </c>
      <c r="H2233" s="0" t="s">
        <v>581</v>
      </c>
    </row>
    <row r="2234" customFormat="false" ht="12.8" hidden="false" customHeight="false" outlineLevel="0" collapsed="false">
      <c r="A2234" s="1" t="s">
        <v>1192</v>
      </c>
      <c r="C2234" s="3" t="s">
        <v>1193</v>
      </c>
      <c r="D2234" s="4" t="s">
        <v>1237</v>
      </c>
      <c r="F2234" s="6" t="s">
        <v>1195</v>
      </c>
      <c r="G2234" s="7" t="str">
        <f aca="false">HYPERLINK(CONCATENATE("http://crfop.gdos.gov.pl/CRFOP/widok/viewuzytekekologiczny.jsf?fop=","PL.ZIPOP.1393.UE.1001052.621"),"(kliknij lub Ctrl+kliknij)")</f>
        <v>(kliknij lub Ctrl+kliknij)</v>
      </c>
      <c r="H2234" s="0" t="s">
        <v>581</v>
      </c>
    </row>
    <row r="2235" customFormat="false" ht="12.8" hidden="false" customHeight="false" outlineLevel="0" collapsed="false">
      <c r="A2235" s="1" t="s">
        <v>1192</v>
      </c>
      <c r="C2235" s="3" t="s">
        <v>1193</v>
      </c>
      <c r="D2235" s="4" t="s">
        <v>1238</v>
      </c>
      <c r="F2235" s="6" t="s">
        <v>1195</v>
      </c>
      <c r="G2235" s="7" t="str">
        <f aca="false">HYPERLINK(CONCATENATE("http://crfop.gdos.gov.pl/CRFOP/widok/viewuzytekekologiczny.jsf?fop=","PL.ZIPOP.1393.UE.1001052.622"),"(kliknij lub Ctrl+kliknij)")</f>
        <v>(kliknij lub Ctrl+kliknij)</v>
      </c>
      <c r="H2235" s="0" t="s">
        <v>581</v>
      </c>
    </row>
    <row r="2236" customFormat="false" ht="12.8" hidden="false" customHeight="false" outlineLevel="0" collapsed="false">
      <c r="A2236" s="1" t="s">
        <v>1192</v>
      </c>
      <c r="C2236" s="3" t="s">
        <v>1193</v>
      </c>
      <c r="D2236" s="4" t="s">
        <v>1239</v>
      </c>
      <c r="F2236" s="6" t="s">
        <v>1195</v>
      </c>
      <c r="G2236" s="7" t="str">
        <f aca="false">HYPERLINK(CONCATENATE("http://crfop.gdos.gov.pl/CRFOP/widok/viewuzytekekologiczny.jsf?fop=","PL.ZIPOP.1393.UE.1001052.623"),"(kliknij lub Ctrl+kliknij)")</f>
        <v>(kliknij lub Ctrl+kliknij)</v>
      </c>
      <c r="H2236" s="0" t="s">
        <v>581</v>
      </c>
    </row>
    <row r="2237" customFormat="false" ht="12.8" hidden="false" customHeight="false" outlineLevel="0" collapsed="false">
      <c r="A2237" s="1" t="s">
        <v>1192</v>
      </c>
      <c r="C2237" s="3" t="s">
        <v>1193</v>
      </c>
      <c r="D2237" s="4" t="s">
        <v>1211</v>
      </c>
      <c r="F2237" s="6" t="s">
        <v>1195</v>
      </c>
      <c r="G2237" s="7" t="str">
        <f aca="false">HYPERLINK(CONCATENATE("http://crfop.gdos.gov.pl/CRFOP/widok/viewuzytekekologiczny.jsf?fop=","PL.ZIPOP.1393.UE.1001052.624"),"(kliknij lub Ctrl+kliknij)")</f>
        <v>(kliknij lub Ctrl+kliknij)</v>
      </c>
      <c r="H2237" s="0" t="s">
        <v>581</v>
      </c>
    </row>
    <row r="2238" customFormat="false" ht="12.8" hidden="false" customHeight="false" outlineLevel="0" collapsed="false">
      <c r="A2238" s="1" t="s">
        <v>1192</v>
      </c>
      <c r="C2238" s="3" t="s">
        <v>1193</v>
      </c>
      <c r="D2238" s="4" t="s">
        <v>1240</v>
      </c>
      <c r="F2238" s="6" t="s">
        <v>1195</v>
      </c>
      <c r="G2238" s="7" t="str">
        <f aca="false">HYPERLINK(CONCATENATE("http://crfop.gdos.gov.pl/CRFOP/widok/viewuzytekekologiczny.jsf?fop=","PL.ZIPOP.1393.UE.1001052.625"),"(kliknij lub Ctrl+kliknij)")</f>
        <v>(kliknij lub Ctrl+kliknij)</v>
      </c>
      <c r="H2238" s="0" t="s">
        <v>581</v>
      </c>
    </row>
    <row r="2239" customFormat="false" ht="12.8" hidden="false" customHeight="false" outlineLevel="0" collapsed="false">
      <c r="A2239" s="1" t="s">
        <v>1192</v>
      </c>
      <c r="C2239" s="3" t="s">
        <v>1193</v>
      </c>
      <c r="D2239" s="4" t="s">
        <v>1200</v>
      </c>
      <c r="F2239" s="6" t="s">
        <v>1195</v>
      </c>
      <c r="G2239" s="7" t="str">
        <f aca="false">HYPERLINK(CONCATENATE("http://crfop.gdos.gov.pl/CRFOP/widok/viewuzytekekologiczny.jsf?fop=","PL.ZIPOP.1393.UE.1001052.626"),"(kliknij lub Ctrl+kliknij)")</f>
        <v>(kliknij lub Ctrl+kliknij)</v>
      </c>
      <c r="H2239" s="0" t="s">
        <v>581</v>
      </c>
    </row>
    <row r="2240" customFormat="false" ht="12.8" hidden="false" customHeight="false" outlineLevel="0" collapsed="false">
      <c r="A2240" s="1" t="s">
        <v>1192</v>
      </c>
      <c r="C2240" s="3" t="s">
        <v>1193</v>
      </c>
      <c r="D2240" s="4" t="s">
        <v>1241</v>
      </c>
      <c r="F2240" s="6" t="s">
        <v>1195</v>
      </c>
      <c r="G2240" s="7" t="str">
        <f aca="false">HYPERLINK(CONCATENATE("http://crfop.gdos.gov.pl/CRFOP/widok/viewuzytekekologiczny.jsf?fop=","PL.ZIPOP.1393.UE.1001052.627"),"(kliknij lub Ctrl+kliknij)")</f>
        <v>(kliknij lub Ctrl+kliknij)</v>
      </c>
      <c r="H2240" s="0" t="s">
        <v>581</v>
      </c>
    </row>
    <row r="2241" customFormat="false" ht="69" hidden="false" customHeight="false" outlineLevel="0" collapsed="false">
      <c r="A2241" s="1" t="s">
        <v>1192</v>
      </c>
      <c r="C2241" s="3" t="s">
        <v>1242</v>
      </c>
      <c r="D2241" s="4" t="s">
        <v>1243</v>
      </c>
      <c r="F2241" s="10" t="s">
        <v>1244</v>
      </c>
      <c r="G2241" s="7" t="str">
        <f aca="false">HYPERLINK(CONCATENATE("http://crfop.gdos.gov.pl/CRFOP/widok/viewuzytekekologiczny.jsf?fop=","PL.ZIPOP.1393.UE.1001062.628"),"(kliknij lub Ctrl+kliknij)")</f>
        <v>(kliknij lub Ctrl+kliknij)</v>
      </c>
      <c r="H2241" s="0" t="s">
        <v>586</v>
      </c>
    </row>
    <row r="2242" customFormat="false" ht="12.8" hidden="false" customHeight="false" outlineLevel="0" collapsed="false">
      <c r="A2242" s="1" t="s">
        <v>1192</v>
      </c>
      <c r="C2242" s="3" t="s">
        <v>1193</v>
      </c>
      <c r="D2242" s="4" t="s">
        <v>1206</v>
      </c>
      <c r="F2242" s="6" t="s">
        <v>1195</v>
      </c>
      <c r="G2242" s="7" t="str">
        <f aca="false">HYPERLINK(CONCATENATE("http://crfop.gdos.gov.pl/CRFOP/widok/viewuzytekekologiczny.jsf?fop=","PL.ZIPOP.1393.UE.1001072.629"),"(kliknij lub Ctrl+kliknij)")</f>
        <v>(kliknij lub Ctrl+kliknij)</v>
      </c>
      <c r="H2242" s="0" t="s">
        <v>588</v>
      </c>
    </row>
    <row r="2243" customFormat="false" ht="12.8" hidden="false" customHeight="false" outlineLevel="0" collapsed="false">
      <c r="A2243" s="1" t="s">
        <v>1192</v>
      </c>
      <c r="C2243" s="3" t="s">
        <v>1193</v>
      </c>
      <c r="D2243" s="4" t="s">
        <v>1214</v>
      </c>
      <c r="F2243" s="6" t="s">
        <v>1195</v>
      </c>
      <c r="G2243" s="7" t="str">
        <f aca="false">HYPERLINK(CONCATENATE("http://crfop.gdos.gov.pl/CRFOP/widok/viewuzytekekologiczny.jsf?fop=","PL.ZIPOP.1393.UE.1001072.630"),"(kliknij lub Ctrl+kliknij)")</f>
        <v>(kliknij lub Ctrl+kliknij)</v>
      </c>
      <c r="H2243" s="0" t="s">
        <v>588</v>
      </c>
    </row>
    <row r="2244" customFormat="false" ht="12.8" hidden="false" customHeight="false" outlineLevel="0" collapsed="false">
      <c r="A2244" s="1" t="s">
        <v>1192</v>
      </c>
      <c r="C2244" s="3" t="s">
        <v>1193</v>
      </c>
      <c r="D2244" s="4" t="s">
        <v>1245</v>
      </c>
      <c r="F2244" s="6" t="s">
        <v>1195</v>
      </c>
      <c r="G2244" s="7" t="str">
        <f aca="false">HYPERLINK(CONCATENATE("http://crfop.gdos.gov.pl/CRFOP/widok/viewuzytekekologiczny.jsf?fop=","PL.ZIPOP.1393.UE.1001072.631"),"(kliknij lub Ctrl+kliknij)")</f>
        <v>(kliknij lub Ctrl+kliknij)</v>
      </c>
      <c r="H2244" s="0" t="s">
        <v>588</v>
      </c>
    </row>
    <row r="2245" customFormat="false" ht="12.8" hidden="false" customHeight="false" outlineLevel="0" collapsed="false">
      <c r="A2245" s="1" t="s">
        <v>1192</v>
      </c>
      <c r="C2245" s="3" t="s">
        <v>1193</v>
      </c>
      <c r="D2245" s="4" t="s">
        <v>1245</v>
      </c>
      <c r="F2245" s="6" t="s">
        <v>1195</v>
      </c>
      <c r="G2245" s="7" t="str">
        <f aca="false">HYPERLINK(CONCATENATE("http://crfop.gdos.gov.pl/CRFOP/widok/viewuzytekekologiczny.jsf?fop=","PL.ZIPOP.1393.UE.1001072.632"),"(kliknij lub Ctrl+kliknij)")</f>
        <v>(kliknij lub Ctrl+kliknij)</v>
      </c>
      <c r="H2245" s="0" t="s">
        <v>588</v>
      </c>
    </row>
    <row r="2246" customFormat="false" ht="12.8" hidden="false" customHeight="false" outlineLevel="0" collapsed="false">
      <c r="A2246" s="1" t="s">
        <v>1192</v>
      </c>
      <c r="C2246" s="3" t="s">
        <v>1193</v>
      </c>
      <c r="D2246" s="4" t="s">
        <v>1246</v>
      </c>
      <c r="F2246" s="6" t="s">
        <v>1195</v>
      </c>
      <c r="G2246" s="7" t="str">
        <f aca="false">HYPERLINK(CONCATENATE("http://crfop.gdos.gov.pl/CRFOP/widok/viewuzytekekologiczny.jsf?fop=","PL.ZIPOP.1393.UE.1001072.633"),"(kliknij lub Ctrl+kliknij)")</f>
        <v>(kliknij lub Ctrl+kliknij)</v>
      </c>
      <c r="H2246" s="0" t="s">
        <v>588</v>
      </c>
    </row>
    <row r="2247" customFormat="false" ht="12.8" hidden="false" customHeight="false" outlineLevel="0" collapsed="false">
      <c r="A2247" s="1" t="s">
        <v>1192</v>
      </c>
      <c r="C2247" s="3" t="s">
        <v>1193</v>
      </c>
      <c r="D2247" s="4" t="s">
        <v>1223</v>
      </c>
      <c r="F2247" s="6" t="s">
        <v>1195</v>
      </c>
      <c r="G2247" s="7" t="str">
        <f aca="false">HYPERLINK(CONCATENATE("http://crfop.gdos.gov.pl/CRFOP/widok/viewuzytekekologiczny.jsf?fop=","PL.ZIPOP.1393.UE.1001072.634"),"(kliknij lub Ctrl+kliknij)")</f>
        <v>(kliknij lub Ctrl+kliknij)</v>
      </c>
      <c r="H2247" s="0" t="s">
        <v>588</v>
      </c>
    </row>
    <row r="2248" customFormat="false" ht="12.8" hidden="false" customHeight="false" outlineLevel="0" collapsed="false">
      <c r="A2248" s="1" t="s">
        <v>1192</v>
      </c>
      <c r="C2248" s="3" t="s">
        <v>1193</v>
      </c>
      <c r="D2248" s="4" t="s">
        <v>1247</v>
      </c>
      <c r="F2248" s="6" t="s">
        <v>1195</v>
      </c>
      <c r="G2248" s="7" t="str">
        <f aca="false">HYPERLINK(CONCATENATE("http://crfop.gdos.gov.pl/CRFOP/widok/viewuzytekekologiczny.jsf?fop=","PL.ZIPOP.1393.UE.1001072.635"),"(kliknij lub Ctrl+kliknij)")</f>
        <v>(kliknij lub Ctrl+kliknij)</v>
      </c>
      <c r="H2248" s="0" t="s">
        <v>588</v>
      </c>
    </row>
    <row r="2249" customFormat="false" ht="12.8" hidden="false" customHeight="false" outlineLevel="0" collapsed="false">
      <c r="A2249" s="1" t="s">
        <v>1192</v>
      </c>
      <c r="C2249" s="3" t="s">
        <v>1193</v>
      </c>
      <c r="D2249" s="4" t="s">
        <v>1207</v>
      </c>
      <c r="F2249" s="6" t="s">
        <v>1195</v>
      </c>
      <c r="G2249" s="7" t="str">
        <f aca="false">HYPERLINK(CONCATENATE("http://crfop.gdos.gov.pl/CRFOP/widok/viewuzytekekologiczny.jsf?fop=","PL.ZIPOP.1393.UE.1001072.636"),"(kliknij lub Ctrl+kliknij)")</f>
        <v>(kliknij lub Ctrl+kliknij)</v>
      </c>
      <c r="H2249" s="0" t="s">
        <v>588</v>
      </c>
    </row>
    <row r="2250" customFormat="false" ht="12.8" hidden="false" customHeight="false" outlineLevel="0" collapsed="false">
      <c r="A2250" s="1" t="s">
        <v>1192</v>
      </c>
      <c r="C2250" s="3" t="s">
        <v>1193</v>
      </c>
      <c r="D2250" s="4" t="s">
        <v>1237</v>
      </c>
      <c r="F2250" s="6" t="s">
        <v>1195</v>
      </c>
      <c r="G2250" s="7" t="str">
        <f aca="false">HYPERLINK(CONCATENATE("http://crfop.gdos.gov.pl/CRFOP/widok/viewuzytekekologiczny.jsf?fop=","PL.ZIPOP.1393.UE.1001072.637"),"(kliknij lub Ctrl+kliknij)")</f>
        <v>(kliknij lub Ctrl+kliknij)</v>
      </c>
      <c r="H2250" s="0" t="s">
        <v>588</v>
      </c>
    </row>
    <row r="2251" customFormat="false" ht="12.8" hidden="false" customHeight="false" outlineLevel="0" collapsed="false">
      <c r="A2251" s="1" t="s">
        <v>1192</v>
      </c>
      <c r="C2251" s="3" t="s">
        <v>1193</v>
      </c>
      <c r="D2251" s="4" t="s">
        <v>1248</v>
      </c>
      <c r="F2251" s="6" t="s">
        <v>1195</v>
      </c>
      <c r="G2251" s="7" t="str">
        <f aca="false">HYPERLINK(CONCATENATE("http://crfop.gdos.gov.pl/CRFOP/widok/viewuzytekekologiczny.jsf?fop=","PL.ZIPOP.1393.UE.1001072.638"),"(kliknij lub Ctrl+kliknij)")</f>
        <v>(kliknij lub Ctrl+kliknij)</v>
      </c>
      <c r="H2251" s="0" t="s">
        <v>588</v>
      </c>
    </row>
    <row r="2252" customFormat="false" ht="12.8" hidden="false" customHeight="false" outlineLevel="0" collapsed="false">
      <c r="A2252" s="1" t="s">
        <v>1192</v>
      </c>
      <c r="C2252" s="3" t="s">
        <v>1193</v>
      </c>
      <c r="D2252" s="4" t="s">
        <v>1215</v>
      </c>
      <c r="F2252" s="6" t="s">
        <v>1195</v>
      </c>
      <c r="G2252" s="7" t="str">
        <f aca="false">HYPERLINK(CONCATENATE("http://crfop.gdos.gov.pl/CRFOP/widok/viewuzytekekologiczny.jsf?fop=","PL.ZIPOP.1393.UE.1001072.639"),"(kliknij lub Ctrl+kliknij)")</f>
        <v>(kliknij lub Ctrl+kliknij)</v>
      </c>
      <c r="H2252" s="0" t="s">
        <v>588</v>
      </c>
    </row>
    <row r="2253" customFormat="false" ht="12.8" hidden="false" customHeight="false" outlineLevel="0" collapsed="false">
      <c r="A2253" s="1" t="s">
        <v>1192</v>
      </c>
      <c r="C2253" s="3" t="s">
        <v>1193</v>
      </c>
      <c r="D2253" s="4" t="s">
        <v>1207</v>
      </c>
      <c r="F2253" s="6" t="s">
        <v>1195</v>
      </c>
      <c r="G2253" s="7" t="str">
        <f aca="false">HYPERLINK(CONCATENATE("http://crfop.gdos.gov.pl/CRFOP/widok/viewuzytekekologiczny.jsf?fop=","PL.ZIPOP.1393.UE.1001072.640"),"(kliknij lub Ctrl+kliknij)")</f>
        <v>(kliknij lub Ctrl+kliknij)</v>
      </c>
      <c r="H2253" s="0" t="s">
        <v>588</v>
      </c>
    </row>
    <row r="2254" customFormat="false" ht="12.8" hidden="false" customHeight="false" outlineLevel="0" collapsed="false">
      <c r="A2254" s="1" t="s">
        <v>1192</v>
      </c>
      <c r="C2254" s="3" t="s">
        <v>1193</v>
      </c>
      <c r="D2254" s="4" t="s">
        <v>1220</v>
      </c>
      <c r="F2254" s="6" t="s">
        <v>1195</v>
      </c>
      <c r="G2254" s="7" t="str">
        <f aca="false">HYPERLINK(CONCATENATE("http://crfop.gdos.gov.pl/CRFOP/widok/viewuzytekekologiczny.jsf?fop=","PL.ZIPOP.1393.UE.1001072.641"),"(kliknij lub Ctrl+kliknij)")</f>
        <v>(kliknij lub Ctrl+kliknij)</v>
      </c>
      <c r="H2254" s="0" t="s">
        <v>588</v>
      </c>
    </row>
    <row r="2255" customFormat="false" ht="12.8" hidden="false" customHeight="false" outlineLevel="0" collapsed="false">
      <c r="A2255" s="1" t="s">
        <v>1192</v>
      </c>
      <c r="C2255" s="3" t="s">
        <v>1193</v>
      </c>
      <c r="D2255" s="4" t="s">
        <v>1212</v>
      </c>
      <c r="F2255" s="6" t="s">
        <v>1195</v>
      </c>
      <c r="G2255" s="7" t="str">
        <f aca="false">HYPERLINK(CONCATENATE("http://crfop.gdos.gov.pl/CRFOP/widok/viewuzytekekologiczny.jsf?fop=","PL.ZIPOP.1393.UE.1001072.642"),"(kliknij lub Ctrl+kliknij)")</f>
        <v>(kliknij lub Ctrl+kliknij)</v>
      </c>
      <c r="H2255" s="0" t="s">
        <v>588</v>
      </c>
    </row>
    <row r="2256" customFormat="false" ht="12.8" hidden="false" customHeight="false" outlineLevel="0" collapsed="false">
      <c r="A2256" s="1" t="s">
        <v>1192</v>
      </c>
      <c r="C2256" s="3" t="s">
        <v>1193</v>
      </c>
      <c r="D2256" s="4" t="s">
        <v>1249</v>
      </c>
      <c r="F2256" s="6" t="s">
        <v>1195</v>
      </c>
      <c r="G2256" s="7" t="str">
        <f aca="false">HYPERLINK(CONCATENATE("http://crfop.gdos.gov.pl/CRFOP/widok/viewuzytekekologiczny.jsf?fop=","PL.ZIPOP.1393.UE.1001072.643"),"(kliknij lub Ctrl+kliknij)")</f>
        <v>(kliknij lub Ctrl+kliknij)</v>
      </c>
      <c r="H2256" s="0" t="s">
        <v>588</v>
      </c>
    </row>
    <row r="2257" customFormat="false" ht="12.8" hidden="false" customHeight="false" outlineLevel="0" collapsed="false">
      <c r="A2257" s="1" t="s">
        <v>1192</v>
      </c>
      <c r="C2257" s="3" t="s">
        <v>1193</v>
      </c>
      <c r="D2257" s="4" t="s">
        <v>444</v>
      </c>
      <c r="F2257" s="6" t="s">
        <v>1195</v>
      </c>
      <c r="G2257" s="7" t="str">
        <f aca="false">HYPERLINK(CONCATENATE("http://crfop.gdos.gov.pl/CRFOP/widok/viewuzytekekologiczny.jsf?fop=","PL.ZIPOP.1393.UE.1001072.644"),"(kliknij lub Ctrl+kliknij)")</f>
        <v>(kliknij lub Ctrl+kliknij)</v>
      </c>
      <c r="H2257" s="0" t="s">
        <v>588</v>
      </c>
    </row>
    <row r="2258" customFormat="false" ht="12.8" hidden="false" customHeight="false" outlineLevel="0" collapsed="false">
      <c r="A2258" s="1" t="s">
        <v>1192</v>
      </c>
      <c r="C2258" s="3" t="s">
        <v>1193</v>
      </c>
      <c r="D2258" s="4" t="s">
        <v>1250</v>
      </c>
      <c r="F2258" s="6" t="s">
        <v>1195</v>
      </c>
      <c r="G2258" s="7" t="str">
        <f aca="false">HYPERLINK(CONCATENATE("http://crfop.gdos.gov.pl/CRFOP/widok/viewuzytekekologiczny.jsf?fop=","PL.ZIPOP.1393.UE.1001072.645"),"(kliknij lub Ctrl+kliknij)")</f>
        <v>(kliknij lub Ctrl+kliknij)</v>
      </c>
      <c r="H2258" s="0" t="s">
        <v>588</v>
      </c>
    </row>
    <row r="2259" customFormat="false" ht="12.8" hidden="false" customHeight="false" outlineLevel="0" collapsed="false">
      <c r="A2259" s="1" t="s">
        <v>1192</v>
      </c>
      <c r="C2259" s="3" t="s">
        <v>1193</v>
      </c>
      <c r="D2259" s="4" t="s">
        <v>1251</v>
      </c>
      <c r="F2259" s="6" t="s">
        <v>1195</v>
      </c>
      <c r="G2259" s="7" t="str">
        <f aca="false">HYPERLINK(CONCATENATE("http://crfop.gdos.gov.pl/CRFOP/widok/viewuzytekekologiczny.jsf?fop=","PL.ZIPOP.1393.UE.1001072.646"),"(kliknij lub Ctrl+kliknij)")</f>
        <v>(kliknij lub Ctrl+kliknij)</v>
      </c>
      <c r="H2259" s="0" t="s">
        <v>588</v>
      </c>
    </row>
    <row r="2260" customFormat="false" ht="12.8" hidden="false" customHeight="false" outlineLevel="0" collapsed="false">
      <c r="A2260" s="1" t="s">
        <v>1192</v>
      </c>
      <c r="C2260" s="3" t="s">
        <v>1193</v>
      </c>
      <c r="D2260" s="4" t="s">
        <v>1252</v>
      </c>
      <c r="F2260" s="6" t="s">
        <v>1195</v>
      </c>
      <c r="G2260" s="7" t="str">
        <f aca="false">HYPERLINK(CONCATENATE("http://crfop.gdos.gov.pl/CRFOP/widok/viewuzytekekologiczny.jsf?fop=","PL.ZIPOP.1393.UE.1001072.647"),"(kliknij lub Ctrl+kliknij)")</f>
        <v>(kliknij lub Ctrl+kliknij)</v>
      </c>
      <c r="H2260" s="0" t="s">
        <v>588</v>
      </c>
    </row>
    <row r="2261" customFormat="false" ht="12.8" hidden="false" customHeight="false" outlineLevel="0" collapsed="false">
      <c r="A2261" s="1" t="s">
        <v>1192</v>
      </c>
      <c r="C2261" s="3" t="s">
        <v>1193</v>
      </c>
      <c r="D2261" s="4" t="s">
        <v>1253</v>
      </c>
      <c r="F2261" s="6" t="s">
        <v>1195</v>
      </c>
      <c r="G2261" s="7" t="str">
        <f aca="false">HYPERLINK(CONCATENATE("http://crfop.gdos.gov.pl/CRFOP/widok/viewuzytekekologiczny.jsf?fop=","PL.ZIPOP.1393.UE.1001072.648"),"(kliknij lub Ctrl+kliknij)")</f>
        <v>(kliknij lub Ctrl+kliknij)</v>
      </c>
      <c r="H2261" s="0" t="s">
        <v>588</v>
      </c>
    </row>
    <row r="2262" customFormat="false" ht="12.8" hidden="false" customHeight="false" outlineLevel="0" collapsed="false">
      <c r="A2262" s="1" t="s">
        <v>1192</v>
      </c>
      <c r="C2262" s="3" t="s">
        <v>1193</v>
      </c>
      <c r="D2262" s="4" t="s">
        <v>1254</v>
      </c>
      <c r="F2262" s="6" t="s">
        <v>1195</v>
      </c>
      <c r="G2262" s="7" t="str">
        <f aca="false">HYPERLINK(CONCATENATE("http://crfop.gdos.gov.pl/CRFOP/widok/viewuzytekekologiczny.jsf?fop=","PL.ZIPOP.1393.UE.1001072.649"),"(kliknij lub Ctrl+kliknij)")</f>
        <v>(kliknij lub Ctrl+kliknij)</v>
      </c>
      <c r="H2262" s="0" t="s">
        <v>588</v>
      </c>
    </row>
    <row r="2263" customFormat="false" ht="12.8" hidden="false" customHeight="false" outlineLevel="0" collapsed="false">
      <c r="A2263" s="1" t="s">
        <v>1192</v>
      </c>
      <c r="C2263" s="3" t="s">
        <v>1193</v>
      </c>
      <c r="D2263" s="4" t="s">
        <v>1220</v>
      </c>
      <c r="F2263" s="6" t="s">
        <v>1195</v>
      </c>
      <c r="G2263" s="7" t="str">
        <f aca="false">HYPERLINK(CONCATENATE("http://crfop.gdos.gov.pl/CRFOP/widok/viewuzytekekologiczny.jsf?fop=","PL.ZIPOP.1393.UE.1001072.650"),"(kliknij lub Ctrl+kliknij)")</f>
        <v>(kliknij lub Ctrl+kliknij)</v>
      </c>
      <c r="H2263" s="0" t="s">
        <v>588</v>
      </c>
    </row>
    <row r="2264" customFormat="false" ht="69" hidden="false" customHeight="false" outlineLevel="0" collapsed="false">
      <c r="A2264" s="1" t="s">
        <v>1192</v>
      </c>
      <c r="C2264" s="3" t="s">
        <v>1193</v>
      </c>
      <c r="D2264" s="4" t="s">
        <v>1255</v>
      </c>
      <c r="F2264" s="10" t="s">
        <v>1195</v>
      </c>
      <c r="G2264" s="7" t="str">
        <f aca="false">HYPERLINK(CONCATENATE("http://crfop.gdos.gov.pl/CRFOP/widok/viewuzytekekologiczny.jsf?fop=","PL.ZIPOP.1393.UE.1001072.651"),"(kliknij lub Ctrl+kliknij)")</f>
        <v>(kliknij lub Ctrl+kliknij)</v>
      </c>
      <c r="H2264" s="0" t="s">
        <v>588</v>
      </c>
    </row>
    <row r="2265" customFormat="false" ht="12.8" hidden="false" customHeight="false" outlineLevel="0" collapsed="false">
      <c r="A2265" s="1" t="s">
        <v>1192</v>
      </c>
      <c r="C2265" s="3" t="s">
        <v>1193</v>
      </c>
      <c r="D2265" s="4" t="s">
        <v>1246</v>
      </c>
      <c r="F2265" s="6" t="s">
        <v>1195</v>
      </c>
      <c r="G2265" s="7" t="str">
        <f aca="false">HYPERLINK(CONCATENATE("http://crfop.gdos.gov.pl/CRFOP/widok/viewuzytekekologiczny.jsf?fop=","PL.ZIPOP.1393.UE.1001072.652"),"(kliknij lub Ctrl+kliknij)")</f>
        <v>(kliknij lub Ctrl+kliknij)</v>
      </c>
      <c r="H2265" s="0" t="s">
        <v>588</v>
      </c>
    </row>
    <row r="2266" customFormat="false" ht="12.8" hidden="false" customHeight="false" outlineLevel="0" collapsed="false">
      <c r="A2266" s="1" t="s">
        <v>1192</v>
      </c>
      <c r="C2266" s="3" t="s">
        <v>1193</v>
      </c>
      <c r="D2266" s="4" t="s">
        <v>1256</v>
      </c>
      <c r="F2266" s="6" t="s">
        <v>1195</v>
      </c>
      <c r="G2266" s="7" t="str">
        <f aca="false">HYPERLINK(CONCATENATE("http://crfop.gdos.gov.pl/CRFOP/widok/viewuzytekekologiczny.jsf?fop=","PL.ZIPOP.1393.UE.1001072.653"),"(kliknij lub Ctrl+kliknij)")</f>
        <v>(kliknij lub Ctrl+kliknij)</v>
      </c>
      <c r="H2266" s="0" t="s">
        <v>588</v>
      </c>
    </row>
    <row r="2267" customFormat="false" ht="12.8" hidden="false" customHeight="false" outlineLevel="0" collapsed="false">
      <c r="A2267" s="1" t="s">
        <v>1192</v>
      </c>
      <c r="C2267" s="3" t="s">
        <v>1193</v>
      </c>
      <c r="D2267" s="4" t="s">
        <v>1257</v>
      </c>
      <c r="F2267" s="6" t="s">
        <v>1195</v>
      </c>
      <c r="G2267" s="7" t="str">
        <f aca="false">HYPERLINK(CONCATENATE("http://crfop.gdos.gov.pl/CRFOP/widok/viewuzytekekologiczny.jsf?fop=","PL.ZIPOP.1393.UE.1001072.654"),"(kliknij lub Ctrl+kliknij)")</f>
        <v>(kliknij lub Ctrl+kliknij)</v>
      </c>
      <c r="H2267" s="0" t="s">
        <v>588</v>
      </c>
    </row>
    <row r="2268" customFormat="false" ht="12.8" hidden="false" customHeight="false" outlineLevel="0" collapsed="false">
      <c r="A2268" s="1" t="s">
        <v>1192</v>
      </c>
      <c r="C2268" s="3" t="s">
        <v>1193</v>
      </c>
      <c r="D2268" s="4" t="s">
        <v>1258</v>
      </c>
      <c r="F2268" s="6" t="s">
        <v>1195</v>
      </c>
      <c r="G2268" s="7" t="str">
        <f aca="false">HYPERLINK(CONCATENATE("http://crfop.gdos.gov.pl/CRFOP/widok/viewuzytekekologiczny.jsf?fop=","PL.ZIPOP.1393.UE.1001072.655"),"(kliknij lub Ctrl+kliknij)")</f>
        <v>(kliknij lub Ctrl+kliknij)</v>
      </c>
      <c r="H2268" s="0" t="s">
        <v>588</v>
      </c>
    </row>
    <row r="2269" customFormat="false" ht="12.8" hidden="false" customHeight="false" outlineLevel="0" collapsed="false">
      <c r="A2269" s="1" t="s">
        <v>1192</v>
      </c>
      <c r="C2269" s="3" t="s">
        <v>574</v>
      </c>
      <c r="D2269" s="4" t="s">
        <v>1259</v>
      </c>
      <c r="F2269" s="6" t="s">
        <v>1198</v>
      </c>
      <c r="G2269" s="7" t="str">
        <f aca="false">HYPERLINK(CONCATENATE("http://crfop.gdos.gov.pl/CRFOP/widok/viewuzytekekologiczny.jsf?fop=","PL.ZIPOP.1393.UE.1001072.656"),"(kliknij lub Ctrl+kliknij)")</f>
        <v>(kliknij lub Ctrl+kliknij)</v>
      </c>
      <c r="H2269" s="0" t="s">
        <v>588</v>
      </c>
    </row>
    <row r="2270" customFormat="false" ht="12.8" hidden="false" customHeight="false" outlineLevel="0" collapsed="false">
      <c r="A2270" s="1" t="s">
        <v>1192</v>
      </c>
      <c r="C2270" s="3" t="s">
        <v>574</v>
      </c>
      <c r="D2270" s="4" t="s">
        <v>1260</v>
      </c>
      <c r="F2270" s="6" t="s">
        <v>1198</v>
      </c>
      <c r="G2270" s="7" t="str">
        <f aca="false">HYPERLINK(CONCATENATE("http://crfop.gdos.gov.pl/CRFOP/widok/viewuzytekekologiczny.jsf?fop=","PL.ZIPOP.1393.UE.1001072.657"),"(kliknij lub Ctrl+kliknij)")</f>
        <v>(kliknij lub Ctrl+kliknij)</v>
      </c>
      <c r="H2270" s="0" t="s">
        <v>588</v>
      </c>
    </row>
    <row r="2271" customFormat="false" ht="12.8" hidden="false" customHeight="false" outlineLevel="0" collapsed="false">
      <c r="A2271" s="1" t="s">
        <v>1192</v>
      </c>
      <c r="C2271" s="3" t="s">
        <v>574</v>
      </c>
      <c r="D2271" s="4" t="s">
        <v>1261</v>
      </c>
      <c r="F2271" s="6" t="s">
        <v>1198</v>
      </c>
      <c r="G2271" s="7" t="str">
        <f aca="false">HYPERLINK(CONCATENATE("http://crfop.gdos.gov.pl/CRFOP/widok/viewuzytekekologiczny.jsf?fop=","PL.ZIPOP.1393.UE.1001072.658"),"(kliknij lub Ctrl+kliknij)")</f>
        <v>(kliknij lub Ctrl+kliknij)</v>
      </c>
      <c r="H2271" s="0" t="s">
        <v>588</v>
      </c>
    </row>
    <row r="2272" customFormat="false" ht="12.8" hidden="false" customHeight="false" outlineLevel="0" collapsed="false">
      <c r="A2272" s="1" t="s">
        <v>1192</v>
      </c>
      <c r="C2272" s="3" t="s">
        <v>574</v>
      </c>
      <c r="D2272" s="4" t="s">
        <v>1262</v>
      </c>
      <c r="F2272" s="6" t="s">
        <v>1198</v>
      </c>
      <c r="G2272" s="7" t="str">
        <f aca="false">HYPERLINK(CONCATENATE("http://crfop.gdos.gov.pl/CRFOP/widok/viewuzytekekologiczny.jsf?fop=","PL.ZIPOP.1393.UE.1001072.659"),"(kliknij lub Ctrl+kliknij)")</f>
        <v>(kliknij lub Ctrl+kliknij)</v>
      </c>
      <c r="H2272" s="0" t="s">
        <v>588</v>
      </c>
    </row>
    <row r="2273" customFormat="false" ht="12.8" hidden="false" customHeight="false" outlineLevel="0" collapsed="false">
      <c r="A2273" s="1" t="s">
        <v>1192</v>
      </c>
      <c r="C2273" s="3" t="s">
        <v>574</v>
      </c>
      <c r="D2273" s="4" t="s">
        <v>1263</v>
      </c>
      <c r="F2273" s="6" t="s">
        <v>1198</v>
      </c>
      <c r="G2273" s="7" t="str">
        <f aca="false">HYPERLINK(CONCATENATE("http://crfop.gdos.gov.pl/CRFOP/widok/viewuzytekekologiczny.jsf?fop=","PL.ZIPOP.1393.UE.1001072.660"),"(kliknij lub Ctrl+kliknij)")</f>
        <v>(kliknij lub Ctrl+kliknij)</v>
      </c>
      <c r="H2273" s="0" t="s">
        <v>588</v>
      </c>
    </row>
    <row r="2274" customFormat="false" ht="12.8" hidden="false" customHeight="false" outlineLevel="0" collapsed="false">
      <c r="A2274" s="1" t="s">
        <v>1192</v>
      </c>
      <c r="C2274" s="3" t="s">
        <v>574</v>
      </c>
      <c r="D2274" s="4" t="s">
        <v>1255</v>
      </c>
      <c r="F2274" s="6" t="s">
        <v>1198</v>
      </c>
      <c r="G2274" s="7" t="str">
        <f aca="false">HYPERLINK(CONCATENATE("http://crfop.gdos.gov.pl/CRFOP/widok/viewuzytekekologiczny.jsf?fop=","PL.ZIPOP.1393.UE.1001072.661"),"(kliknij lub Ctrl+kliknij)")</f>
        <v>(kliknij lub Ctrl+kliknij)</v>
      </c>
      <c r="H2274" s="0" t="s">
        <v>588</v>
      </c>
    </row>
    <row r="2275" customFormat="false" ht="91.65" hidden="false" customHeight="false" outlineLevel="0" collapsed="false">
      <c r="A2275" s="1" t="s">
        <v>1192</v>
      </c>
      <c r="C2275" s="3" t="s">
        <v>574</v>
      </c>
      <c r="D2275" s="4" t="s">
        <v>1196</v>
      </c>
      <c r="F2275" s="10" t="s">
        <v>1198</v>
      </c>
      <c r="G2275" s="7" t="str">
        <f aca="false">HYPERLINK(CONCATENATE("http://crfop.gdos.gov.pl/CRFOP/widok/viewuzytekekologiczny.jsf?fop=","PL.ZIPOP.1393.UE.1001072.662"),"(kliknij lub Ctrl+kliknij)")</f>
        <v>(kliknij lub Ctrl+kliknij)</v>
      </c>
      <c r="H2275" s="0" t="s">
        <v>588</v>
      </c>
    </row>
    <row r="2276" customFormat="false" ht="12.8" hidden="false" customHeight="false" outlineLevel="0" collapsed="false">
      <c r="A2276" s="1" t="s">
        <v>1192</v>
      </c>
      <c r="C2276" s="3" t="s">
        <v>574</v>
      </c>
      <c r="D2276" s="4" t="s">
        <v>1264</v>
      </c>
      <c r="F2276" s="6" t="s">
        <v>1198</v>
      </c>
      <c r="G2276" s="7" t="str">
        <f aca="false">HYPERLINK(CONCATENATE("http://crfop.gdos.gov.pl/CRFOP/widok/viewuzytekekologiczny.jsf?fop=","PL.ZIPOP.1393.UE.1001072.663"),"(kliknij lub Ctrl+kliknij)")</f>
        <v>(kliknij lub Ctrl+kliknij)</v>
      </c>
      <c r="H2276" s="0" t="s">
        <v>588</v>
      </c>
    </row>
    <row r="2277" customFormat="false" ht="91.65" hidden="false" customHeight="false" outlineLevel="0" collapsed="false">
      <c r="A2277" s="1" t="s">
        <v>1192</v>
      </c>
      <c r="C2277" s="3" t="s">
        <v>574</v>
      </c>
      <c r="D2277" s="4" t="s">
        <v>1265</v>
      </c>
      <c r="F2277" s="10" t="s">
        <v>1198</v>
      </c>
      <c r="G2277" s="7" t="str">
        <f aca="false">HYPERLINK(CONCATENATE("http://crfop.gdos.gov.pl/CRFOP/widok/viewuzytekekologiczny.jsf?fop=","PL.ZIPOP.1393.UE.1001083.664"),"(kliknij lub Ctrl+kliknij)")</f>
        <v>(kliknij lub Ctrl+kliknij)</v>
      </c>
      <c r="H2277" s="0" t="s">
        <v>590</v>
      </c>
    </row>
    <row r="2278" customFormat="false" ht="12.8" hidden="false" customHeight="false" outlineLevel="0" collapsed="false">
      <c r="A2278" s="1" t="s">
        <v>1192</v>
      </c>
      <c r="C2278" s="3" t="s">
        <v>1193</v>
      </c>
      <c r="D2278" s="4" t="s">
        <v>1253</v>
      </c>
      <c r="F2278" s="6" t="s">
        <v>1195</v>
      </c>
      <c r="G2278" s="7" t="str">
        <f aca="false">HYPERLINK(CONCATENATE("http://crfop.gdos.gov.pl/CRFOP/widok/viewuzytekekologiczny.jsf?fop=","PL.ZIPOP.1393.UE.1001083.665"),"(kliknij lub Ctrl+kliknij)")</f>
        <v>(kliknij lub Ctrl+kliknij)</v>
      </c>
      <c r="H2278" s="0" t="s">
        <v>590</v>
      </c>
    </row>
    <row r="2279" customFormat="false" ht="12.8" hidden="false" customHeight="false" outlineLevel="0" collapsed="false">
      <c r="A2279" s="1" t="s">
        <v>1192</v>
      </c>
      <c r="C2279" s="3" t="s">
        <v>1193</v>
      </c>
      <c r="D2279" s="4" t="s">
        <v>1266</v>
      </c>
      <c r="F2279" s="6" t="s">
        <v>1195</v>
      </c>
      <c r="G2279" s="7" t="str">
        <f aca="false">HYPERLINK(CONCATENATE("http://crfop.gdos.gov.pl/CRFOP/widok/viewuzytekekologiczny.jsf?fop=","PL.ZIPOP.1393.UE.1001083.666"),"(kliknij lub Ctrl+kliknij)")</f>
        <v>(kliknij lub Ctrl+kliknij)</v>
      </c>
      <c r="H2279" s="0" t="s">
        <v>590</v>
      </c>
    </row>
    <row r="2280" customFormat="false" ht="12.8" hidden="false" customHeight="false" outlineLevel="0" collapsed="false">
      <c r="A2280" s="1" t="s">
        <v>1192</v>
      </c>
      <c r="C2280" s="3" t="s">
        <v>1193</v>
      </c>
      <c r="D2280" s="4" t="s">
        <v>1267</v>
      </c>
      <c r="F2280" s="6" t="s">
        <v>1195</v>
      </c>
      <c r="G2280" s="7" t="str">
        <f aca="false">HYPERLINK(CONCATENATE("http://crfop.gdos.gov.pl/CRFOP/widok/viewuzytekekologiczny.jsf?fop=","PL.ZIPOP.1393.UE.1001083.667"),"(kliknij lub Ctrl+kliknij)")</f>
        <v>(kliknij lub Ctrl+kliknij)</v>
      </c>
      <c r="H2280" s="0" t="s">
        <v>590</v>
      </c>
    </row>
    <row r="2281" customFormat="false" ht="12.8" hidden="false" customHeight="false" outlineLevel="0" collapsed="false">
      <c r="A2281" s="1" t="s">
        <v>1192</v>
      </c>
      <c r="C2281" s="3" t="s">
        <v>1193</v>
      </c>
      <c r="D2281" s="4" t="s">
        <v>1268</v>
      </c>
      <c r="F2281" s="6" t="s">
        <v>1195</v>
      </c>
      <c r="G2281" s="7" t="str">
        <f aca="false">HYPERLINK(CONCATENATE("http://crfop.gdos.gov.pl/CRFOP/widok/viewuzytekekologiczny.jsf?fop=","PL.ZIPOP.1393.UE.1001083.668"),"(kliknij lub Ctrl+kliknij)")</f>
        <v>(kliknij lub Ctrl+kliknij)</v>
      </c>
      <c r="H2281" s="0" t="s">
        <v>590</v>
      </c>
    </row>
    <row r="2282" customFormat="false" ht="12.8" hidden="false" customHeight="false" outlineLevel="0" collapsed="false">
      <c r="A2282" s="1" t="s">
        <v>1192</v>
      </c>
      <c r="C2282" s="3" t="s">
        <v>1193</v>
      </c>
      <c r="D2282" s="4" t="s">
        <v>1264</v>
      </c>
      <c r="F2282" s="6" t="s">
        <v>1195</v>
      </c>
      <c r="G2282" s="7" t="str">
        <f aca="false">HYPERLINK(CONCATENATE("http://crfop.gdos.gov.pl/CRFOP/widok/viewuzytekekologiczny.jsf?fop=","PL.ZIPOP.1393.UE.1001083.669"),"(kliknij lub Ctrl+kliknij)")</f>
        <v>(kliknij lub Ctrl+kliknij)</v>
      </c>
      <c r="H2282" s="0" t="s">
        <v>590</v>
      </c>
    </row>
    <row r="2283" customFormat="false" ht="12.8" hidden="false" customHeight="false" outlineLevel="0" collapsed="false">
      <c r="A2283" s="1" t="s">
        <v>1192</v>
      </c>
      <c r="C2283" s="3" t="s">
        <v>1193</v>
      </c>
      <c r="D2283" s="4" t="s">
        <v>1246</v>
      </c>
      <c r="F2283" s="6" t="s">
        <v>1195</v>
      </c>
      <c r="G2283" s="7" t="str">
        <f aca="false">HYPERLINK(CONCATENATE("http://crfop.gdos.gov.pl/CRFOP/widok/viewuzytekekologiczny.jsf?fop=","PL.ZIPOP.1393.UE.1001083.670"),"(kliknij lub Ctrl+kliknij)")</f>
        <v>(kliknij lub Ctrl+kliknij)</v>
      </c>
      <c r="H2283" s="0" t="s">
        <v>590</v>
      </c>
    </row>
    <row r="2284" customFormat="false" ht="12.8" hidden="false" customHeight="false" outlineLevel="0" collapsed="false">
      <c r="A2284" s="1" t="s">
        <v>1192</v>
      </c>
      <c r="C2284" s="3" t="s">
        <v>1193</v>
      </c>
      <c r="D2284" s="4" t="s">
        <v>1269</v>
      </c>
      <c r="F2284" s="6" t="s">
        <v>1195</v>
      </c>
      <c r="G2284" s="7" t="str">
        <f aca="false">HYPERLINK(CONCATENATE("http://crfop.gdos.gov.pl/CRFOP/widok/viewuzytekekologiczny.jsf?fop=","PL.ZIPOP.1393.UE.1001083.671"),"(kliknij lub Ctrl+kliknij)")</f>
        <v>(kliknij lub Ctrl+kliknij)</v>
      </c>
      <c r="H2284" s="0" t="s">
        <v>590</v>
      </c>
    </row>
    <row r="2285" customFormat="false" ht="12.8" hidden="false" customHeight="false" outlineLevel="0" collapsed="false">
      <c r="A2285" s="1" t="s">
        <v>1192</v>
      </c>
      <c r="C2285" s="3" t="s">
        <v>1193</v>
      </c>
      <c r="D2285" s="4" t="s">
        <v>1270</v>
      </c>
      <c r="F2285" s="6" t="s">
        <v>1195</v>
      </c>
      <c r="G2285" s="7" t="str">
        <f aca="false">HYPERLINK(CONCATENATE("http://crfop.gdos.gov.pl/CRFOP/widok/viewuzytekekologiczny.jsf?fop=","PL.ZIPOP.1393.UE.1001083.672"),"(kliknij lub Ctrl+kliknij)")</f>
        <v>(kliknij lub Ctrl+kliknij)</v>
      </c>
      <c r="H2285" s="0" t="s">
        <v>590</v>
      </c>
    </row>
    <row r="2286" customFormat="false" ht="12.8" hidden="false" customHeight="false" outlineLevel="0" collapsed="false">
      <c r="A2286" s="1" t="s">
        <v>1192</v>
      </c>
      <c r="C2286" s="3" t="s">
        <v>1193</v>
      </c>
      <c r="D2286" s="4" t="s">
        <v>1271</v>
      </c>
      <c r="F2286" s="6" t="s">
        <v>1195</v>
      </c>
      <c r="G2286" s="7" t="str">
        <f aca="false">HYPERLINK(CONCATENATE("http://crfop.gdos.gov.pl/CRFOP/widok/viewuzytekekologiczny.jsf?fop=","PL.ZIPOP.1393.UE.1001083.673"),"(kliknij lub Ctrl+kliknij)")</f>
        <v>(kliknij lub Ctrl+kliknij)</v>
      </c>
      <c r="H2286" s="0" t="s">
        <v>590</v>
      </c>
    </row>
    <row r="2287" customFormat="false" ht="12.8" hidden="false" customHeight="false" outlineLevel="0" collapsed="false">
      <c r="A2287" s="1" t="s">
        <v>1192</v>
      </c>
      <c r="C2287" s="3" t="s">
        <v>1193</v>
      </c>
      <c r="D2287" s="4" t="s">
        <v>1272</v>
      </c>
      <c r="F2287" s="6" t="s">
        <v>1195</v>
      </c>
      <c r="G2287" s="7" t="str">
        <f aca="false">HYPERLINK(CONCATENATE("http://crfop.gdos.gov.pl/CRFOP/widok/viewuzytekekologiczny.jsf?fop=","PL.ZIPOP.1393.UE.1001083.674"),"(kliknij lub Ctrl+kliknij)")</f>
        <v>(kliknij lub Ctrl+kliknij)</v>
      </c>
      <c r="H2287" s="0" t="s">
        <v>590</v>
      </c>
    </row>
    <row r="2288" customFormat="false" ht="12.8" hidden="false" customHeight="false" outlineLevel="0" collapsed="false">
      <c r="A2288" s="1" t="s">
        <v>1192</v>
      </c>
      <c r="C2288" s="3" t="s">
        <v>1193</v>
      </c>
      <c r="D2288" s="4" t="s">
        <v>1273</v>
      </c>
      <c r="F2288" s="6" t="s">
        <v>1195</v>
      </c>
      <c r="G2288" s="7" t="str">
        <f aca="false">HYPERLINK(CONCATENATE("http://crfop.gdos.gov.pl/CRFOP/widok/viewuzytekekologiczny.jsf?fop=","PL.ZIPOP.1393.UE.1001083.675"),"(kliknij lub Ctrl+kliknij)")</f>
        <v>(kliknij lub Ctrl+kliknij)</v>
      </c>
      <c r="H2288" s="0" t="s">
        <v>590</v>
      </c>
    </row>
    <row r="2289" customFormat="false" ht="12.8" hidden="false" customHeight="false" outlineLevel="0" collapsed="false">
      <c r="A2289" s="1" t="s">
        <v>1192</v>
      </c>
      <c r="C2289" s="3" t="s">
        <v>1193</v>
      </c>
      <c r="D2289" s="4" t="s">
        <v>1274</v>
      </c>
      <c r="F2289" s="6" t="s">
        <v>1195</v>
      </c>
      <c r="G2289" s="7" t="str">
        <f aca="false">HYPERLINK(CONCATENATE("http://crfop.gdos.gov.pl/CRFOP/widok/viewuzytekekologiczny.jsf?fop=","PL.ZIPOP.1393.UE.1001083.676"),"(kliknij lub Ctrl+kliknij)")</f>
        <v>(kliknij lub Ctrl+kliknij)</v>
      </c>
      <c r="H2289" s="0" t="s">
        <v>590</v>
      </c>
    </row>
    <row r="2290" customFormat="false" ht="12.8" hidden="false" customHeight="false" outlineLevel="0" collapsed="false">
      <c r="A2290" s="1" t="s">
        <v>1192</v>
      </c>
      <c r="C2290" s="3" t="s">
        <v>1193</v>
      </c>
      <c r="D2290" s="4" t="s">
        <v>1275</v>
      </c>
      <c r="F2290" s="6" t="s">
        <v>1195</v>
      </c>
      <c r="G2290" s="7" t="str">
        <f aca="false">HYPERLINK(CONCATENATE("http://crfop.gdos.gov.pl/CRFOP/widok/viewuzytekekologiczny.jsf?fop=","PL.ZIPOP.1393.UE.1001083.677"),"(kliknij lub Ctrl+kliknij)")</f>
        <v>(kliknij lub Ctrl+kliknij)</v>
      </c>
      <c r="H2290" s="0" t="s">
        <v>590</v>
      </c>
    </row>
    <row r="2291" customFormat="false" ht="12.8" hidden="false" customHeight="false" outlineLevel="0" collapsed="false">
      <c r="A2291" s="1" t="s">
        <v>1192</v>
      </c>
      <c r="C2291" s="3" t="s">
        <v>1193</v>
      </c>
      <c r="D2291" s="4" t="s">
        <v>1236</v>
      </c>
      <c r="F2291" s="6" t="s">
        <v>1195</v>
      </c>
      <c r="G2291" s="7" t="str">
        <f aca="false">HYPERLINK(CONCATENATE("http://crfop.gdos.gov.pl/CRFOP/widok/viewuzytekekologiczny.jsf?fop=","PL.ZIPOP.1393.UE.1001083.678"),"(kliknij lub Ctrl+kliknij)")</f>
        <v>(kliknij lub Ctrl+kliknij)</v>
      </c>
      <c r="H2291" s="0" t="s">
        <v>590</v>
      </c>
    </row>
    <row r="2292" customFormat="false" ht="12.8" hidden="false" customHeight="false" outlineLevel="0" collapsed="false">
      <c r="A2292" s="1" t="s">
        <v>1192</v>
      </c>
      <c r="C2292" s="3" t="s">
        <v>1193</v>
      </c>
      <c r="D2292" s="4" t="s">
        <v>1276</v>
      </c>
      <c r="F2292" s="6" t="s">
        <v>1195</v>
      </c>
      <c r="G2292" s="7" t="str">
        <f aca="false">HYPERLINK(CONCATENATE("http://crfop.gdos.gov.pl/CRFOP/widok/viewuzytekekologiczny.jsf?fop=","PL.ZIPOP.1393.UE.1001083.679"),"(kliknij lub Ctrl+kliknij)")</f>
        <v>(kliknij lub Ctrl+kliknij)</v>
      </c>
      <c r="H2292" s="0" t="s">
        <v>590</v>
      </c>
    </row>
    <row r="2293" customFormat="false" ht="12.8" hidden="false" customHeight="false" outlineLevel="0" collapsed="false">
      <c r="A2293" s="1" t="s">
        <v>1192</v>
      </c>
      <c r="C2293" s="3" t="s">
        <v>1193</v>
      </c>
      <c r="D2293" s="4" t="s">
        <v>1277</v>
      </c>
      <c r="F2293" s="6" t="s">
        <v>1195</v>
      </c>
      <c r="G2293" s="7" t="str">
        <f aca="false">HYPERLINK(CONCATENATE("http://crfop.gdos.gov.pl/CRFOP/widok/viewuzytekekologiczny.jsf?fop=","PL.ZIPOP.1393.UE.1001083.680"),"(kliknij lub Ctrl+kliknij)")</f>
        <v>(kliknij lub Ctrl+kliknij)</v>
      </c>
      <c r="H2293" s="0" t="s">
        <v>590</v>
      </c>
    </row>
    <row r="2294" customFormat="false" ht="12.8" hidden="false" customHeight="false" outlineLevel="0" collapsed="false">
      <c r="A2294" s="1" t="s">
        <v>1192</v>
      </c>
      <c r="C2294" s="3" t="s">
        <v>1193</v>
      </c>
      <c r="D2294" s="4" t="s">
        <v>1209</v>
      </c>
      <c r="F2294" s="6" t="s">
        <v>1195</v>
      </c>
      <c r="G2294" s="7" t="str">
        <f aca="false">HYPERLINK(CONCATENATE("http://crfop.gdos.gov.pl/CRFOP/widok/viewuzytekekologiczny.jsf?fop=","PL.ZIPOP.1393.UE.1001083.681"),"(kliknij lub Ctrl+kliknij)")</f>
        <v>(kliknij lub Ctrl+kliknij)</v>
      </c>
      <c r="H2294" s="0" t="s">
        <v>590</v>
      </c>
    </row>
    <row r="2295" customFormat="false" ht="12.8" hidden="false" customHeight="false" outlineLevel="0" collapsed="false">
      <c r="A2295" s="1" t="s">
        <v>1192</v>
      </c>
      <c r="C2295" s="3" t="s">
        <v>1193</v>
      </c>
      <c r="D2295" s="4" t="s">
        <v>1278</v>
      </c>
      <c r="F2295" s="6" t="s">
        <v>1195</v>
      </c>
      <c r="G2295" s="7" t="str">
        <f aca="false">HYPERLINK(CONCATENATE("http://crfop.gdos.gov.pl/CRFOP/widok/viewuzytekekologiczny.jsf?fop=","PL.ZIPOP.1393.UE.1001083.682"),"(kliknij lub Ctrl+kliknij)")</f>
        <v>(kliknij lub Ctrl+kliknij)</v>
      </c>
      <c r="H2295" s="0" t="s">
        <v>590</v>
      </c>
    </row>
    <row r="2296" customFormat="false" ht="12.8" hidden="false" customHeight="false" outlineLevel="0" collapsed="false">
      <c r="A2296" s="1" t="s">
        <v>1192</v>
      </c>
      <c r="C2296" s="3" t="s">
        <v>1193</v>
      </c>
      <c r="D2296" s="4" t="s">
        <v>1279</v>
      </c>
      <c r="F2296" s="6" t="s">
        <v>1195</v>
      </c>
      <c r="G2296" s="7" t="str">
        <f aca="false">HYPERLINK(CONCATENATE("http://crfop.gdos.gov.pl/CRFOP/widok/viewuzytekekologiczny.jsf?fop=","PL.ZIPOP.1393.UE.1001083.683"),"(kliknij lub Ctrl+kliknij)")</f>
        <v>(kliknij lub Ctrl+kliknij)</v>
      </c>
      <c r="H2296" s="0" t="s">
        <v>590</v>
      </c>
    </row>
    <row r="2297" customFormat="false" ht="12.8" hidden="false" customHeight="false" outlineLevel="0" collapsed="false">
      <c r="A2297" s="1" t="s">
        <v>1192</v>
      </c>
      <c r="C2297" s="3" t="s">
        <v>1193</v>
      </c>
      <c r="D2297" s="4" t="s">
        <v>1280</v>
      </c>
      <c r="F2297" s="6" t="s">
        <v>1195</v>
      </c>
      <c r="G2297" s="7" t="str">
        <f aca="false">HYPERLINK(CONCATENATE("http://crfop.gdos.gov.pl/CRFOP/widok/viewuzytekekologiczny.jsf?fop=","PL.ZIPOP.1393.UE.1001083.684"),"(kliknij lub Ctrl+kliknij)")</f>
        <v>(kliknij lub Ctrl+kliknij)</v>
      </c>
      <c r="H2297" s="0" t="s">
        <v>590</v>
      </c>
    </row>
    <row r="2298" customFormat="false" ht="12.8" hidden="false" customHeight="false" outlineLevel="0" collapsed="false">
      <c r="A2298" s="1" t="s">
        <v>1192</v>
      </c>
      <c r="C2298" s="3" t="s">
        <v>1193</v>
      </c>
      <c r="D2298" s="4" t="s">
        <v>1281</v>
      </c>
      <c r="F2298" s="6" t="s">
        <v>1195</v>
      </c>
      <c r="G2298" s="7" t="str">
        <f aca="false">HYPERLINK(CONCATENATE("http://crfop.gdos.gov.pl/CRFOP/widok/viewuzytekekologiczny.jsf?fop=","PL.ZIPOP.1393.UE.1001083.685"),"(kliknij lub Ctrl+kliknij)")</f>
        <v>(kliknij lub Ctrl+kliknij)</v>
      </c>
      <c r="H2298" s="0" t="s">
        <v>590</v>
      </c>
    </row>
    <row r="2299" customFormat="false" ht="12.8" hidden="false" customHeight="false" outlineLevel="0" collapsed="false">
      <c r="A2299" s="1" t="s">
        <v>1192</v>
      </c>
      <c r="C2299" s="3" t="s">
        <v>1193</v>
      </c>
      <c r="D2299" s="4" t="s">
        <v>1213</v>
      </c>
      <c r="F2299" s="6" t="s">
        <v>1195</v>
      </c>
      <c r="G2299" s="7" t="str">
        <f aca="false">HYPERLINK(CONCATENATE("http://crfop.gdos.gov.pl/CRFOP/widok/viewuzytekekologiczny.jsf?fop=","PL.ZIPOP.1393.UE.1001083.686"),"(kliknij lub Ctrl+kliknij)")</f>
        <v>(kliknij lub Ctrl+kliknij)</v>
      </c>
      <c r="H2299" s="0" t="s">
        <v>590</v>
      </c>
    </row>
    <row r="2300" customFormat="false" ht="91.65" hidden="false" customHeight="false" outlineLevel="0" collapsed="false">
      <c r="A2300" s="1" t="s">
        <v>1192</v>
      </c>
      <c r="C2300" s="3" t="s">
        <v>574</v>
      </c>
      <c r="D2300" s="4" t="s">
        <v>1232</v>
      </c>
      <c r="F2300" s="10" t="s">
        <v>1198</v>
      </c>
      <c r="G2300" s="7" t="str">
        <f aca="false">HYPERLINK(CONCATENATE("http://crfop.gdos.gov.pl/CRFOP/widok/viewuzytekekologiczny.jsf?fop=","PL.ZIPOP.1393.UE.1001083.687"),"(kliknij lub Ctrl+kliknij)")</f>
        <v>(kliknij lub Ctrl+kliknij)</v>
      </c>
      <c r="H2300" s="0" t="s">
        <v>590</v>
      </c>
    </row>
    <row r="2301" customFormat="false" ht="12.8" hidden="false" customHeight="false" outlineLevel="0" collapsed="false">
      <c r="A2301" s="1" t="s">
        <v>1192</v>
      </c>
      <c r="B2301" s="2" t="s">
        <v>1282</v>
      </c>
      <c r="C2301" s="3" t="s">
        <v>1283</v>
      </c>
      <c r="D2301" s="4" t="s">
        <v>1284</v>
      </c>
      <c r="F2301" s="6" t="s">
        <v>1285</v>
      </c>
      <c r="G2301" s="7" t="str">
        <f aca="false">HYPERLINK(CONCATENATE("http://crfop.gdos.gov.pl/CRFOP/widok/viewuzytekekologiczny.jsf?fop=","PL.ZIPOP.1393.UE.1001083.688"),"(kliknij lub Ctrl+kliknij)")</f>
        <v>(kliknij lub Ctrl+kliknij)</v>
      </c>
      <c r="H2301" s="0" t="s">
        <v>590</v>
      </c>
    </row>
    <row r="2302" customFormat="false" ht="12.8" hidden="false" customHeight="false" outlineLevel="0" collapsed="false">
      <c r="A2302" s="1" t="s">
        <v>1192</v>
      </c>
      <c r="C2302" s="3" t="s">
        <v>1286</v>
      </c>
      <c r="D2302" s="4" t="s">
        <v>571</v>
      </c>
      <c r="F2302" s="6" t="s">
        <v>1287</v>
      </c>
      <c r="G2302" s="7" t="str">
        <f aca="false">HYPERLINK(CONCATENATE("http://crfop.gdos.gov.pl/CRFOP/widok/viewuzytekekologiczny.jsf?fop=","PL.ZIPOP.1393.UE.1003032.813"),"(kliknij lub Ctrl+kliknij)")</f>
        <v>(kliknij lub Ctrl+kliknij)</v>
      </c>
      <c r="H2302" s="0" t="s">
        <v>466</v>
      </c>
    </row>
    <row r="2303" customFormat="false" ht="12.8" hidden="false" customHeight="false" outlineLevel="0" collapsed="false">
      <c r="A2303" s="1" t="s">
        <v>1192</v>
      </c>
      <c r="C2303" s="3" t="s">
        <v>1242</v>
      </c>
      <c r="D2303" s="4" t="s">
        <v>1288</v>
      </c>
      <c r="F2303" s="6" t="s">
        <v>1244</v>
      </c>
      <c r="G2303" s="7" t="str">
        <f aca="false">HYPERLINK(CONCATENATE("http://crfop.gdos.gov.pl/CRFOP/widok/viewuzytekekologiczny.jsf?fop=","PL.ZIPOP.1393.UE.1003032.817"),"(kliknij lub Ctrl+kliknij)")</f>
        <v>(kliknij lub Ctrl+kliknij)</v>
      </c>
      <c r="H2303" s="0" t="s">
        <v>466</v>
      </c>
    </row>
    <row r="2304" customFormat="false" ht="12.8" hidden="false" customHeight="false" outlineLevel="0" collapsed="false">
      <c r="A2304" s="1" t="s">
        <v>1192</v>
      </c>
      <c r="C2304" s="3" t="s">
        <v>1289</v>
      </c>
      <c r="D2304" s="4" t="s">
        <v>1272</v>
      </c>
      <c r="F2304" s="6" t="s">
        <v>1290</v>
      </c>
      <c r="G2304" s="7" t="str">
        <f aca="false">HYPERLINK(CONCATENATE("http://crfop.gdos.gov.pl/CRFOP/widok/viewuzytekekologiczny.jsf?fop=","PL.ZIPOP.1393.UE.1003032.866"),"(kliknij lub Ctrl+kliknij)")</f>
        <v>(kliknij lub Ctrl+kliknij)</v>
      </c>
      <c r="H2304" s="0" t="s">
        <v>466</v>
      </c>
    </row>
    <row r="2305" customFormat="false" ht="12.8" hidden="false" customHeight="false" outlineLevel="0" collapsed="false">
      <c r="A2305" s="1" t="s">
        <v>1192</v>
      </c>
      <c r="C2305" s="3" t="s">
        <v>1242</v>
      </c>
      <c r="D2305" s="4" t="s">
        <v>1291</v>
      </c>
      <c r="F2305" s="6" t="s">
        <v>1244</v>
      </c>
      <c r="G2305" s="7" t="str">
        <f aca="false">HYPERLINK(CONCATENATE("http://crfop.gdos.gov.pl/CRFOP/widok/viewuzytekekologiczny.jsf?fop=","PL.ZIPOP.1393.UE.1003042.812"),"(kliknij lub Ctrl+kliknij)")</f>
        <v>(kliknij lub Ctrl+kliknij)</v>
      </c>
      <c r="H2305" s="0" t="s">
        <v>650</v>
      </c>
    </row>
    <row r="2306" customFormat="false" ht="12.8" hidden="false" customHeight="false" outlineLevel="0" collapsed="false">
      <c r="A2306" s="1" t="s">
        <v>1192</v>
      </c>
      <c r="B2306" s="2" t="s">
        <v>368</v>
      </c>
      <c r="C2306" s="3" t="s">
        <v>1292</v>
      </c>
      <c r="D2306" s="4" t="s">
        <v>1293</v>
      </c>
      <c r="F2306" s="6" t="s">
        <v>1294</v>
      </c>
      <c r="G2306" s="7" t="str">
        <f aca="false">HYPERLINK(CONCATENATE("http://crfop.gdos.gov.pl/CRFOP/widok/viewuzytekekologiczny.jsf?fop=","PL.ZIPOP.1393.UE.1003042.814"),"(kliknij lub Ctrl+kliknij)")</f>
        <v>(kliknij lub Ctrl+kliknij)</v>
      </c>
      <c r="H2306" s="0" t="s">
        <v>650</v>
      </c>
    </row>
    <row r="2307" customFormat="false" ht="12.8" hidden="false" customHeight="false" outlineLevel="0" collapsed="false">
      <c r="A2307" s="1" t="s">
        <v>1192</v>
      </c>
      <c r="B2307" s="2" t="s">
        <v>1295</v>
      </c>
      <c r="C2307" s="3" t="s">
        <v>1296</v>
      </c>
      <c r="D2307" s="4" t="s">
        <v>1297</v>
      </c>
      <c r="F2307" s="6" t="s">
        <v>1298</v>
      </c>
      <c r="G2307" s="7" t="str">
        <f aca="false">HYPERLINK(CONCATENATE("http://crfop.gdos.gov.pl/CRFOP/widok/viewuzytekekologiczny.jsf?fop=","PL.ZIPOP.1393.UE.1003042.815"),"(kliknij lub Ctrl+kliknij)")</f>
        <v>(kliknij lub Ctrl+kliknij)</v>
      </c>
      <c r="H2307" s="0" t="s">
        <v>650</v>
      </c>
    </row>
    <row r="2308" customFormat="false" ht="80.35" hidden="false" customHeight="false" outlineLevel="0" collapsed="false">
      <c r="A2308" s="1" t="s">
        <v>1192</v>
      </c>
      <c r="C2308" s="3" t="s">
        <v>1299</v>
      </c>
      <c r="D2308" s="4" t="s">
        <v>1300</v>
      </c>
      <c r="F2308" s="10" t="s">
        <v>1301</v>
      </c>
      <c r="G2308" s="7" t="str">
        <f aca="false">HYPERLINK(CONCATENATE("http://crfop.gdos.gov.pl/CRFOP/widok/viewuzytekekologiczny.jsf?fop=","PL.ZIPOP.1393.UE.1005082.66"),"(kliknij lub Ctrl+kliknij)")</f>
        <v>(kliknij lub Ctrl+kliknij)</v>
      </c>
      <c r="H2308" s="0" t="s">
        <v>699</v>
      </c>
    </row>
    <row r="2309" customFormat="false" ht="69" hidden="false" customHeight="false" outlineLevel="0" collapsed="false">
      <c r="A2309" s="1" t="s">
        <v>1192</v>
      </c>
      <c r="C2309" s="3" t="s">
        <v>1299</v>
      </c>
      <c r="D2309" s="4" t="s">
        <v>1302</v>
      </c>
      <c r="F2309" s="10" t="s">
        <v>1303</v>
      </c>
      <c r="G2309" s="7" t="str">
        <f aca="false">HYPERLINK(CONCATENATE("http://crfop.gdos.gov.pl/CRFOP/widok/viewuzytekekologiczny.jsf?fop=","PL.ZIPOP.1393.UE.1005082.67"),"(kliknij lub Ctrl+kliknij)")</f>
        <v>(kliknij lub Ctrl+kliknij)</v>
      </c>
      <c r="H2309" s="0" t="s">
        <v>699</v>
      </c>
    </row>
    <row r="2310" customFormat="false" ht="12.8" hidden="false" customHeight="false" outlineLevel="0" collapsed="false">
      <c r="A2310" s="1" t="s">
        <v>1192</v>
      </c>
      <c r="C2310" s="3" t="s">
        <v>1100</v>
      </c>
      <c r="D2310" s="4" t="s">
        <v>1304</v>
      </c>
      <c r="F2310" s="6" t="s">
        <v>1305</v>
      </c>
      <c r="G2310" s="7" t="str">
        <f aca="false">HYPERLINK(CONCATENATE("http://crfop.gdos.gov.pl/CRFOP/widok/viewuzytekekologiczny.jsf?fop=","PL.ZIPOP.1393.UE.1005092.59"),"(kliknij lub Ctrl+kliknij)")</f>
        <v>(kliknij lub Ctrl+kliknij)</v>
      </c>
      <c r="H2310" s="0" t="s">
        <v>490</v>
      </c>
    </row>
    <row r="2311" customFormat="false" ht="12.8" hidden="false" customHeight="false" outlineLevel="0" collapsed="false">
      <c r="A2311" s="1" t="s">
        <v>1192</v>
      </c>
      <c r="C2311" s="3" t="s">
        <v>1100</v>
      </c>
      <c r="D2311" s="4" t="s">
        <v>1306</v>
      </c>
      <c r="F2311" s="6" t="s">
        <v>1305</v>
      </c>
      <c r="G2311" s="7" t="str">
        <f aca="false">HYPERLINK(CONCATENATE("http://crfop.gdos.gov.pl/CRFOP/widok/viewuzytekekologiczny.jsf?fop=","PL.ZIPOP.1393.UE.1005092.60"),"(kliknij lub Ctrl+kliknij)")</f>
        <v>(kliknij lub Ctrl+kliknij)</v>
      </c>
      <c r="H2311" s="0" t="s">
        <v>490</v>
      </c>
    </row>
    <row r="2312" customFormat="false" ht="12.8" hidden="false" customHeight="false" outlineLevel="0" collapsed="false">
      <c r="A2312" s="1" t="s">
        <v>1192</v>
      </c>
      <c r="C2312" s="3" t="s">
        <v>1299</v>
      </c>
      <c r="D2312" s="4" t="s">
        <v>444</v>
      </c>
      <c r="F2312" s="6" t="s">
        <v>1303</v>
      </c>
      <c r="G2312" s="7" t="str">
        <f aca="false">HYPERLINK(CONCATENATE("http://crfop.gdos.gov.pl/CRFOP/widok/viewuzytekekologiczny.jsf?fop=","PL.ZIPOP.1393.UE.1005092.61"),"(kliknij lub Ctrl+kliknij)")</f>
        <v>(kliknij lub Ctrl+kliknij)</v>
      </c>
      <c r="H2312" s="0" t="s">
        <v>490</v>
      </c>
    </row>
    <row r="2313" customFormat="false" ht="12.8" hidden="false" customHeight="false" outlineLevel="0" collapsed="false">
      <c r="A2313" s="1" t="s">
        <v>1192</v>
      </c>
      <c r="C2313" s="3" t="s">
        <v>1299</v>
      </c>
      <c r="D2313" s="4" t="s">
        <v>1307</v>
      </c>
      <c r="F2313" s="6" t="s">
        <v>1303</v>
      </c>
      <c r="G2313" s="7" t="str">
        <f aca="false">HYPERLINK(CONCATENATE("http://crfop.gdos.gov.pl/CRFOP/widok/viewuzytekekologiczny.jsf?fop=","PL.ZIPOP.1393.UE.1005092.62"),"(kliknij lub Ctrl+kliknij)")</f>
        <v>(kliknij lub Ctrl+kliknij)</v>
      </c>
      <c r="H2313" s="0" t="s">
        <v>490</v>
      </c>
    </row>
    <row r="2314" customFormat="false" ht="12.8" hidden="false" customHeight="false" outlineLevel="0" collapsed="false">
      <c r="A2314" s="1" t="s">
        <v>1192</v>
      </c>
      <c r="C2314" s="3" t="s">
        <v>1299</v>
      </c>
      <c r="D2314" s="4" t="s">
        <v>1229</v>
      </c>
      <c r="F2314" s="6" t="s">
        <v>1303</v>
      </c>
      <c r="G2314" s="7" t="str">
        <f aca="false">HYPERLINK(CONCATENATE("http://crfop.gdos.gov.pl/CRFOP/widok/viewuzytekekologiczny.jsf?fop=","PL.ZIPOP.1393.UE.1005092.63"),"(kliknij lub Ctrl+kliknij)")</f>
        <v>(kliknij lub Ctrl+kliknij)</v>
      </c>
      <c r="H2314" s="0" t="s">
        <v>490</v>
      </c>
    </row>
    <row r="2315" customFormat="false" ht="12.8" hidden="false" customHeight="false" outlineLevel="0" collapsed="false">
      <c r="A2315" s="1" t="s">
        <v>1192</v>
      </c>
      <c r="C2315" s="3" t="s">
        <v>1299</v>
      </c>
      <c r="D2315" s="4" t="s">
        <v>1308</v>
      </c>
      <c r="F2315" s="6" t="s">
        <v>1303</v>
      </c>
      <c r="G2315" s="7" t="str">
        <f aca="false">HYPERLINK(CONCATENATE("http://crfop.gdos.gov.pl/CRFOP/widok/viewuzytekekologiczny.jsf?fop=","PL.ZIPOP.1393.UE.1005092.64"),"(kliknij lub Ctrl+kliknij)")</f>
        <v>(kliknij lub Ctrl+kliknij)</v>
      </c>
      <c r="H2315" s="0" t="s">
        <v>490</v>
      </c>
    </row>
    <row r="2316" customFormat="false" ht="12.8" hidden="false" customHeight="false" outlineLevel="0" collapsed="false">
      <c r="A2316" s="1" t="s">
        <v>1192</v>
      </c>
      <c r="C2316" s="3" t="s">
        <v>1299</v>
      </c>
      <c r="D2316" s="4" t="s">
        <v>1309</v>
      </c>
      <c r="F2316" s="6" t="s">
        <v>1303</v>
      </c>
      <c r="G2316" s="7" t="str">
        <f aca="false">HYPERLINK(CONCATENATE("http://crfop.gdos.gov.pl/CRFOP/widok/viewuzytekekologiczny.jsf?fop=","PL.ZIPOP.1393.UE.1005092.65"),"(kliknij lub Ctrl+kliknij)")</f>
        <v>(kliknij lub Ctrl+kliknij)</v>
      </c>
      <c r="H2316" s="0" t="s">
        <v>490</v>
      </c>
    </row>
    <row r="2317" customFormat="false" ht="12.8" hidden="false" customHeight="false" outlineLevel="0" collapsed="false">
      <c r="A2317" s="1" t="s">
        <v>1192</v>
      </c>
      <c r="B2317" s="2" t="s">
        <v>1310</v>
      </c>
      <c r="C2317" s="3" t="s">
        <v>471</v>
      </c>
      <c r="D2317" s="4" t="s">
        <v>1311</v>
      </c>
      <c r="F2317" s="6" t="s">
        <v>1312</v>
      </c>
      <c r="G2317" s="7" t="str">
        <f aca="false">HYPERLINK(CONCATENATE("http://crfop.gdos.gov.pl/CRFOP/widok/viewuzytekekologiczny.jsf?fop=","PL.ZIPOP.1393.UE.1006022.42"),"(kliknij lub Ctrl+kliknij)")</f>
        <v>(kliknij lub Ctrl+kliknij)</v>
      </c>
      <c r="H2317" s="0" t="s">
        <v>709</v>
      </c>
    </row>
    <row r="2318" customFormat="false" ht="12.8" hidden="false" customHeight="false" outlineLevel="0" collapsed="false">
      <c r="A2318" s="1" t="s">
        <v>1192</v>
      </c>
      <c r="B2318" s="2" t="s">
        <v>1313</v>
      </c>
      <c r="C2318" s="3" t="s">
        <v>591</v>
      </c>
      <c r="D2318" s="4" t="s">
        <v>1314</v>
      </c>
      <c r="F2318" s="6" t="s">
        <v>1315</v>
      </c>
      <c r="G2318" s="7" t="str">
        <f aca="false">HYPERLINK(CONCATENATE("http://crfop.gdos.gov.pl/CRFOP/widok/viewuzytekekologiczny.jsf?fop=","PL.ZIPOP.1393.UE.1006073.40"),"(kliknij lub Ctrl+kliknij)")</f>
        <v>(kliknij lub Ctrl+kliknij)</v>
      </c>
      <c r="H2318" s="0" t="s">
        <v>715</v>
      </c>
    </row>
    <row r="2319" customFormat="false" ht="12.8" hidden="false" customHeight="false" outlineLevel="0" collapsed="false">
      <c r="A2319" s="1" t="s">
        <v>1192</v>
      </c>
      <c r="B2319" s="2" t="s">
        <v>1316</v>
      </c>
      <c r="C2319" s="3" t="s">
        <v>574</v>
      </c>
      <c r="D2319" s="4" t="s">
        <v>1280</v>
      </c>
      <c r="F2319" s="6" t="s">
        <v>1198</v>
      </c>
      <c r="G2319" s="7" t="str">
        <f aca="false">HYPERLINK(CONCATENATE("http://crfop.gdos.gov.pl/CRFOP/widok/viewuzytekekologiczny.jsf?fop=","PL.ZIPOP.1393.UE.1006073.43"),"(kliknij lub Ctrl+kliknij)")</f>
        <v>(kliknij lub Ctrl+kliknij)</v>
      </c>
      <c r="H2319" s="0" t="s">
        <v>715</v>
      </c>
    </row>
    <row r="2320" customFormat="false" ht="12.8" hidden="false" customHeight="false" outlineLevel="0" collapsed="false">
      <c r="A2320" s="1" t="s">
        <v>1192</v>
      </c>
      <c r="B2320" s="2" t="s">
        <v>1317</v>
      </c>
      <c r="C2320" s="3" t="s">
        <v>574</v>
      </c>
      <c r="D2320" s="4" t="s">
        <v>1318</v>
      </c>
      <c r="F2320" s="6" t="s">
        <v>1198</v>
      </c>
      <c r="G2320" s="7" t="str">
        <f aca="false">HYPERLINK(CONCATENATE("http://crfop.gdos.gov.pl/CRFOP/widok/viewuzytekekologiczny.jsf?fop=","PL.ZIPOP.1393.UE.1006073.44"),"(kliknij lub Ctrl+kliknij)")</f>
        <v>(kliknij lub Ctrl+kliknij)</v>
      </c>
      <c r="H2320" s="0" t="s">
        <v>715</v>
      </c>
    </row>
    <row r="2321" customFormat="false" ht="12.8" hidden="false" customHeight="false" outlineLevel="0" collapsed="false">
      <c r="A2321" s="1" t="s">
        <v>1192</v>
      </c>
      <c r="B2321" s="2" t="s">
        <v>1319</v>
      </c>
      <c r="C2321" s="3" t="s">
        <v>574</v>
      </c>
      <c r="D2321" s="4" t="s">
        <v>1201</v>
      </c>
      <c r="F2321" s="6" t="s">
        <v>1198</v>
      </c>
      <c r="G2321" s="7" t="str">
        <f aca="false">HYPERLINK(CONCATENATE("http://crfop.gdos.gov.pl/CRFOP/widok/viewuzytekekologiczny.jsf?fop=","PL.ZIPOP.1393.UE.1006073.45"),"(kliknij lub Ctrl+kliknij)")</f>
        <v>(kliknij lub Ctrl+kliknij)</v>
      </c>
      <c r="H2321" s="0" t="s">
        <v>715</v>
      </c>
    </row>
    <row r="2322" customFormat="false" ht="12.8" hidden="false" customHeight="false" outlineLevel="0" collapsed="false">
      <c r="A2322" s="1" t="s">
        <v>1192</v>
      </c>
      <c r="B2322" s="2" t="s">
        <v>1320</v>
      </c>
      <c r="C2322" s="3" t="s">
        <v>591</v>
      </c>
      <c r="D2322" s="4" t="s">
        <v>1212</v>
      </c>
      <c r="F2322" s="6" t="s">
        <v>1315</v>
      </c>
      <c r="G2322" s="7" t="str">
        <f aca="false">HYPERLINK(CONCATENATE("http://crfop.gdos.gov.pl/CRFOP/widok/viewuzytekekologiczny.jsf?fop=","PL.ZIPOP.1393.UE.1006073.46"),"(kliknij lub Ctrl+kliknij)")</f>
        <v>(kliknij lub Ctrl+kliknij)</v>
      </c>
      <c r="H2322" s="0" t="s">
        <v>715</v>
      </c>
    </row>
    <row r="2323" customFormat="false" ht="12.8" hidden="false" customHeight="false" outlineLevel="0" collapsed="false">
      <c r="A2323" s="1" t="s">
        <v>1192</v>
      </c>
      <c r="B2323" s="2" t="s">
        <v>1321</v>
      </c>
      <c r="C2323" s="3" t="s">
        <v>574</v>
      </c>
      <c r="D2323" s="4" t="s">
        <v>1322</v>
      </c>
      <c r="F2323" s="6" t="s">
        <v>1198</v>
      </c>
      <c r="G2323" s="7" t="str">
        <f aca="false">HYPERLINK(CONCATENATE("http://crfop.gdos.gov.pl/CRFOP/widok/viewuzytekekologiczny.jsf?fop=","PL.ZIPOP.1393.UE.1006073.47"),"(kliknij lub Ctrl+kliknij)")</f>
        <v>(kliknij lub Ctrl+kliknij)</v>
      </c>
      <c r="H2323" s="0" t="s">
        <v>715</v>
      </c>
    </row>
    <row r="2324" customFormat="false" ht="12.8" hidden="false" customHeight="false" outlineLevel="0" collapsed="false">
      <c r="A2324" s="1" t="s">
        <v>1192</v>
      </c>
      <c r="B2324" s="2" t="s">
        <v>1323</v>
      </c>
      <c r="C2324" s="3" t="s">
        <v>591</v>
      </c>
      <c r="D2324" s="4" t="s">
        <v>1324</v>
      </c>
      <c r="F2324" s="6" t="s">
        <v>1315</v>
      </c>
      <c r="G2324" s="7" t="str">
        <f aca="false">HYPERLINK(CONCATENATE("http://crfop.gdos.gov.pl/CRFOP/widok/viewuzytekekologiczny.jsf?fop=","PL.ZIPOP.1393.UE.1006073.48"),"(kliknij lub Ctrl+kliknij)")</f>
        <v>(kliknij lub Ctrl+kliknij)</v>
      </c>
      <c r="H2324" s="0" t="s">
        <v>715</v>
      </c>
    </row>
    <row r="2325" customFormat="false" ht="12.8" hidden="false" customHeight="false" outlineLevel="0" collapsed="false">
      <c r="A2325" s="1" t="s">
        <v>1192</v>
      </c>
      <c r="B2325" s="2" t="s">
        <v>1325</v>
      </c>
      <c r="C2325" s="3" t="s">
        <v>574</v>
      </c>
      <c r="D2325" s="4" t="s">
        <v>1326</v>
      </c>
      <c r="F2325" s="6" t="s">
        <v>1198</v>
      </c>
      <c r="G2325" s="7" t="str">
        <f aca="false">HYPERLINK(CONCATENATE("http://crfop.gdos.gov.pl/CRFOP/widok/viewuzytekekologiczny.jsf?fop=","PL.ZIPOP.1393.UE.1006073.50"),"(kliknij lub Ctrl+kliknij)")</f>
        <v>(kliknij lub Ctrl+kliknij)</v>
      </c>
      <c r="H2325" s="0" t="s">
        <v>715</v>
      </c>
    </row>
    <row r="2326" customFormat="false" ht="12.8" hidden="false" customHeight="false" outlineLevel="0" collapsed="false">
      <c r="A2326" s="1" t="s">
        <v>1192</v>
      </c>
      <c r="B2326" s="2" t="s">
        <v>1327</v>
      </c>
      <c r="C2326" s="3" t="s">
        <v>574</v>
      </c>
      <c r="D2326" s="4" t="s">
        <v>1328</v>
      </c>
      <c r="F2326" s="6" t="s">
        <v>1198</v>
      </c>
      <c r="G2326" s="7" t="str">
        <f aca="false">HYPERLINK(CONCATENATE("http://crfop.gdos.gov.pl/CRFOP/widok/viewuzytekekologiczny.jsf?fop=","PL.ZIPOP.1393.UE.1006073.51"),"(kliknij lub Ctrl+kliknij)")</f>
        <v>(kliknij lub Ctrl+kliknij)</v>
      </c>
      <c r="H2326" s="0" t="s">
        <v>715</v>
      </c>
    </row>
    <row r="2327" customFormat="false" ht="12.8" hidden="false" customHeight="false" outlineLevel="0" collapsed="false">
      <c r="A2327" s="1" t="s">
        <v>1192</v>
      </c>
      <c r="B2327" s="2" t="s">
        <v>1329</v>
      </c>
      <c r="C2327" s="3" t="s">
        <v>574</v>
      </c>
      <c r="D2327" s="4" t="s">
        <v>1330</v>
      </c>
      <c r="F2327" s="6" t="s">
        <v>1198</v>
      </c>
      <c r="G2327" s="7" t="str">
        <f aca="false">HYPERLINK(CONCATENATE("http://crfop.gdos.gov.pl/CRFOP/widok/viewuzytekekologiczny.jsf?fop=","PL.ZIPOP.1393.UE.1006073.52"),"(kliknij lub Ctrl+kliknij)")</f>
        <v>(kliknij lub Ctrl+kliknij)</v>
      </c>
      <c r="H2327" s="0" t="s">
        <v>715</v>
      </c>
    </row>
    <row r="2328" customFormat="false" ht="12.8" hidden="false" customHeight="false" outlineLevel="0" collapsed="false">
      <c r="A2328" s="1" t="s">
        <v>1192</v>
      </c>
      <c r="B2328" s="2" t="s">
        <v>1331</v>
      </c>
      <c r="C2328" s="3" t="s">
        <v>574</v>
      </c>
      <c r="D2328" s="4" t="s">
        <v>1227</v>
      </c>
      <c r="F2328" s="6" t="s">
        <v>1198</v>
      </c>
      <c r="G2328" s="7" t="str">
        <f aca="false">HYPERLINK(CONCATENATE("http://crfop.gdos.gov.pl/CRFOP/widok/viewuzytekekologiczny.jsf?fop=","PL.ZIPOP.1393.UE.1006073.53"),"(kliknij lub Ctrl+kliknij)")</f>
        <v>(kliknij lub Ctrl+kliknij)</v>
      </c>
      <c r="H2328" s="0" t="s">
        <v>715</v>
      </c>
    </row>
    <row r="2329" customFormat="false" ht="12.8" hidden="false" customHeight="false" outlineLevel="0" collapsed="false">
      <c r="A2329" s="1" t="s">
        <v>1192</v>
      </c>
      <c r="B2329" s="2" t="s">
        <v>1332</v>
      </c>
      <c r="C2329" s="3" t="s">
        <v>574</v>
      </c>
      <c r="D2329" s="4" t="s">
        <v>1207</v>
      </c>
      <c r="F2329" s="6" t="s">
        <v>1198</v>
      </c>
      <c r="G2329" s="7" t="str">
        <f aca="false">HYPERLINK(CONCATENATE("http://crfop.gdos.gov.pl/CRFOP/widok/viewuzytekekologiczny.jsf?fop=","PL.ZIPOP.1393.UE.1006073.54"),"(kliknij lub Ctrl+kliknij)")</f>
        <v>(kliknij lub Ctrl+kliknij)</v>
      </c>
      <c r="H2329" s="0" t="s">
        <v>715</v>
      </c>
    </row>
    <row r="2330" customFormat="false" ht="12.8" hidden="false" customHeight="false" outlineLevel="0" collapsed="false">
      <c r="A2330" s="1" t="s">
        <v>1192</v>
      </c>
      <c r="C2330" s="3" t="s">
        <v>574</v>
      </c>
      <c r="D2330" s="4" t="s">
        <v>1333</v>
      </c>
      <c r="F2330" s="6" t="s">
        <v>1198</v>
      </c>
      <c r="G2330" s="7" t="str">
        <f aca="false">HYPERLINK(CONCATENATE("http://crfop.gdos.gov.pl/CRFOP/widok/viewuzytekekologiczny.jsf?fop=","PL.ZIPOP.1393.UE.1006073.56"),"(kliknij lub Ctrl+kliknij)")</f>
        <v>(kliknij lub Ctrl+kliknij)</v>
      </c>
      <c r="H2330" s="0" t="s">
        <v>715</v>
      </c>
    </row>
    <row r="2331" customFormat="false" ht="12.8" hidden="false" customHeight="false" outlineLevel="0" collapsed="false">
      <c r="A2331" s="1" t="s">
        <v>1192</v>
      </c>
      <c r="B2331" s="2" t="s">
        <v>1334</v>
      </c>
      <c r="C2331" s="3" t="s">
        <v>591</v>
      </c>
      <c r="D2331" s="4" t="s">
        <v>1245</v>
      </c>
      <c r="F2331" s="6" t="s">
        <v>1315</v>
      </c>
      <c r="G2331" s="7" t="str">
        <f aca="false">HYPERLINK(CONCATENATE("http://crfop.gdos.gov.pl/CRFOP/widok/viewuzytekekologiczny.jsf?fop=","PL.ZIPOP.1393.UE.1006073.57"),"(kliknij lub Ctrl+kliknij)")</f>
        <v>(kliknij lub Ctrl+kliknij)</v>
      </c>
      <c r="H2331" s="0" t="s">
        <v>715</v>
      </c>
    </row>
    <row r="2332" customFormat="false" ht="12.8" hidden="false" customHeight="false" outlineLevel="0" collapsed="false">
      <c r="A2332" s="1" t="s">
        <v>1192</v>
      </c>
      <c r="C2332" s="3" t="s">
        <v>574</v>
      </c>
      <c r="D2332" s="4" t="s">
        <v>1240</v>
      </c>
      <c r="F2332" s="6" t="s">
        <v>1198</v>
      </c>
      <c r="G2332" s="7" t="str">
        <f aca="false">HYPERLINK(CONCATENATE("http://crfop.gdos.gov.pl/CRFOP/widok/viewuzytekekologiczny.jsf?fop=","PL.ZIPOP.1393.UE.1006073.58"),"(kliknij lub Ctrl+kliknij)")</f>
        <v>(kliknij lub Ctrl+kliknij)</v>
      </c>
      <c r="H2332" s="0" t="s">
        <v>715</v>
      </c>
    </row>
    <row r="2333" customFormat="false" ht="12.8" hidden="false" customHeight="false" outlineLevel="0" collapsed="false">
      <c r="A2333" s="1" t="s">
        <v>1192</v>
      </c>
      <c r="B2333" s="2" t="s">
        <v>1335</v>
      </c>
      <c r="C2333" s="3" t="s">
        <v>591</v>
      </c>
      <c r="D2333" s="4" t="s">
        <v>1336</v>
      </c>
      <c r="F2333" s="6" t="s">
        <v>1315</v>
      </c>
      <c r="G2333" s="7" t="str">
        <f aca="false">HYPERLINK(CONCATENATE("http://crfop.gdos.gov.pl/CRFOP/widok/viewuzytekekologiczny.jsf?fop=","PL.ZIPOP.1393.UE.1006073.8"),"(kliknij lub Ctrl+kliknij)")</f>
        <v>(kliknij lub Ctrl+kliknij)</v>
      </c>
      <c r="H2333" s="0" t="s">
        <v>715</v>
      </c>
    </row>
    <row r="2334" customFormat="false" ht="12.8" hidden="false" customHeight="false" outlineLevel="0" collapsed="false">
      <c r="A2334" s="1" t="s">
        <v>1192</v>
      </c>
      <c r="C2334" s="3" t="s">
        <v>574</v>
      </c>
      <c r="D2334" s="4" t="s">
        <v>1337</v>
      </c>
      <c r="F2334" s="6" t="s">
        <v>1198</v>
      </c>
      <c r="G2334" s="7" t="str">
        <f aca="false">HYPERLINK(CONCATENATE("http://crfop.gdos.gov.pl/CRFOP/widok/viewuzytekekologiczny.jsf?fop=","PL.ZIPOP.1393.UE.1007012.159"),"(kliknij lub Ctrl+kliknij)")</f>
        <v>(kliknij lub Ctrl+kliknij)</v>
      </c>
      <c r="H2334" s="0" t="s">
        <v>251</v>
      </c>
    </row>
    <row r="2335" customFormat="false" ht="12.8" hidden="false" customHeight="false" outlineLevel="0" collapsed="false">
      <c r="A2335" s="1" t="s">
        <v>1192</v>
      </c>
      <c r="C2335" s="3" t="s">
        <v>574</v>
      </c>
      <c r="D2335" s="4" t="s">
        <v>1338</v>
      </c>
      <c r="F2335" s="6" t="s">
        <v>1198</v>
      </c>
      <c r="G2335" s="7" t="str">
        <f aca="false">HYPERLINK(CONCATENATE("http://crfop.gdos.gov.pl/CRFOP/widok/viewuzytekekologiczny.jsf?fop=","PL.ZIPOP.1393.UE.1007012.160"),"(kliknij lub Ctrl+kliknij)")</f>
        <v>(kliknij lub Ctrl+kliknij)</v>
      </c>
      <c r="H2335" s="0" t="s">
        <v>251</v>
      </c>
    </row>
    <row r="2336" customFormat="false" ht="12.8" hidden="false" customHeight="false" outlineLevel="0" collapsed="false">
      <c r="A2336" s="1" t="s">
        <v>1192</v>
      </c>
      <c r="C2336" s="3" t="s">
        <v>574</v>
      </c>
      <c r="D2336" s="4" t="s">
        <v>1337</v>
      </c>
      <c r="F2336" s="6" t="s">
        <v>1198</v>
      </c>
      <c r="G2336" s="7" t="str">
        <f aca="false">HYPERLINK(CONCATENATE("http://crfop.gdos.gov.pl/CRFOP/widok/viewuzytekekologiczny.jsf?fop=","PL.ZIPOP.1393.UE.1007012.161"),"(kliknij lub Ctrl+kliknij)")</f>
        <v>(kliknij lub Ctrl+kliknij)</v>
      </c>
      <c r="H2336" s="0" t="s">
        <v>251</v>
      </c>
    </row>
    <row r="2337" customFormat="false" ht="12.8" hidden="false" customHeight="false" outlineLevel="0" collapsed="false">
      <c r="A2337" s="1" t="s">
        <v>1192</v>
      </c>
      <c r="C2337" s="3" t="s">
        <v>574</v>
      </c>
      <c r="D2337" s="4" t="s">
        <v>1245</v>
      </c>
      <c r="F2337" s="6" t="s">
        <v>1198</v>
      </c>
      <c r="G2337" s="7" t="str">
        <f aca="false">HYPERLINK(CONCATENATE("http://crfop.gdos.gov.pl/CRFOP/widok/viewuzytekekologiczny.jsf?fop=","PL.ZIPOP.1393.UE.1007012.162"),"(kliknij lub Ctrl+kliknij)")</f>
        <v>(kliknij lub Ctrl+kliknij)</v>
      </c>
      <c r="H2337" s="0" t="s">
        <v>251</v>
      </c>
    </row>
    <row r="2338" customFormat="false" ht="12.8" hidden="false" customHeight="false" outlineLevel="0" collapsed="false">
      <c r="A2338" s="1" t="s">
        <v>1192</v>
      </c>
      <c r="C2338" s="3" t="s">
        <v>574</v>
      </c>
      <c r="D2338" s="4" t="s">
        <v>1223</v>
      </c>
      <c r="F2338" s="6" t="s">
        <v>1198</v>
      </c>
      <c r="G2338" s="7" t="str">
        <f aca="false">HYPERLINK(CONCATENATE("http://crfop.gdos.gov.pl/CRFOP/widok/viewuzytekekologiczny.jsf?fop=","PL.ZIPOP.1393.UE.1007012.163"),"(kliknij lub Ctrl+kliknij)")</f>
        <v>(kliknij lub Ctrl+kliknij)</v>
      </c>
      <c r="H2338" s="0" t="s">
        <v>251</v>
      </c>
    </row>
    <row r="2339" customFormat="false" ht="12.8" hidden="false" customHeight="false" outlineLevel="0" collapsed="false">
      <c r="A2339" s="1" t="s">
        <v>1192</v>
      </c>
      <c r="C2339" s="3" t="s">
        <v>574</v>
      </c>
      <c r="D2339" s="4" t="s">
        <v>1339</v>
      </c>
      <c r="F2339" s="6" t="s">
        <v>1198</v>
      </c>
      <c r="G2339" s="7" t="str">
        <f aca="false">HYPERLINK(CONCATENATE("http://crfop.gdos.gov.pl/CRFOP/widok/viewuzytekekologiczny.jsf?fop=","PL.ZIPOP.1393.UE.1007012.164"),"(kliknij lub Ctrl+kliknij)")</f>
        <v>(kliknij lub Ctrl+kliknij)</v>
      </c>
      <c r="H2339" s="0" t="s">
        <v>251</v>
      </c>
    </row>
    <row r="2340" customFormat="false" ht="12.8" hidden="false" customHeight="false" outlineLevel="0" collapsed="false">
      <c r="A2340" s="1" t="s">
        <v>1192</v>
      </c>
      <c r="C2340" s="3" t="s">
        <v>574</v>
      </c>
      <c r="D2340" s="4" t="s">
        <v>1322</v>
      </c>
      <c r="F2340" s="6" t="s">
        <v>1198</v>
      </c>
      <c r="G2340" s="7" t="str">
        <f aca="false">HYPERLINK(CONCATENATE("http://crfop.gdos.gov.pl/CRFOP/widok/viewuzytekekologiczny.jsf?fop=","PL.ZIPOP.1393.UE.1007012.165"),"(kliknij lub Ctrl+kliknij)")</f>
        <v>(kliknij lub Ctrl+kliknij)</v>
      </c>
      <c r="H2340" s="0" t="s">
        <v>251</v>
      </c>
    </row>
    <row r="2341" customFormat="false" ht="12.8" hidden="false" customHeight="false" outlineLevel="0" collapsed="false">
      <c r="A2341" s="1" t="s">
        <v>1192</v>
      </c>
      <c r="C2341" s="3" t="s">
        <v>574</v>
      </c>
      <c r="D2341" s="4" t="s">
        <v>1340</v>
      </c>
      <c r="F2341" s="6" t="s">
        <v>1198</v>
      </c>
      <c r="G2341" s="7" t="str">
        <f aca="false">HYPERLINK(CONCATENATE("http://crfop.gdos.gov.pl/CRFOP/widok/viewuzytekekologiczny.jsf?fop=","PL.ZIPOP.1393.UE.1007012.166"),"(kliknij lub Ctrl+kliknij)")</f>
        <v>(kliknij lub Ctrl+kliknij)</v>
      </c>
      <c r="H2341" s="0" t="s">
        <v>251</v>
      </c>
    </row>
    <row r="2342" customFormat="false" ht="12.8" hidden="false" customHeight="false" outlineLevel="0" collapsed="false">
      <c r="A2342" s="1" t="s">
        <v>1192</v>
      </c>
      <c r="C2342" s="3" t="s">
        <v>1193</v>
      </c>
      <c r="D2342" s="4" t="s">
        <v>1341</v>
      </c>
      <c r="F2342" s="6" t="s">
        <v>1195</v>
      </c>
      <c r="G2342" s="7" t="str">
        <f aca="false">HYPERLINK(CONCATENATE("http://crfop.gdos.gov.pl/CRFOP/widok/viewuzytekekologiczny.jsf?fop=","PL.ZIPOP.1393.UE.1007023.836"),"(kliknij lub Ctrl+kliknij)")</f>
        <v>(kliknij lub Ctrl+kliknij)</v>
      </c>
      <c r="H2342" s="0" t="s">
        <v>1342</v>
      </c>
    </row>
    <row r="2343" customFormat="false" ht="12.8" hidden="false" customHeight="false" outlineLevel="0" collapsed="false">
      <c r="A2343" s="1" t="s">
        <v>1192</v>
      </c>
      <c r="C2343" s="3" t="s">
        <v>1193</v>
      </c>
      <c r="D2343" s="4" t="s">
        <v>1343</v>
      </c>
      <c r="F2343" s="6" t="s">
        <v>1195</v>
      </c>
      <c r="G2343" s="7" t="str">
        <f aca="false">HYPERLINK(CONCATENATE("http://crfop.gdos.gov.pl/CRFOP/widok/viewuzytekekologiczny.jsf?fop=","PL.ZIPOP.1393.UE.1007023.837"),"(kliknij lub Ctrl+kliknij)")</f>
        <v>(kliknij lub Ctrl+kliknij)</v>
      </c>
      <c r="H2343" s="0" t="s">
        <v>1342</v>
      </c>
    </row>
    <row r="2344" customFormat="false" ht="12.8" hidden="false" customHeight="false" outlineLevel="0" collapsed="false">
      <c r="A2344" s="1" t="s">
        <v>1192</v>
      </c>
      <c r="C2344" s="3" t="s">
        <v>1193</v>
      </c>
      <c r="D2344" s="4" t="s">
        <v>1288</v>
      </c>
      <c r="F2344" s="6" t="s">
        <v>1195</v>
      </c>
      <c r="G2344" s="7" t="str">
        <f aca="false">HYPERLINK(CONCATENATE("http://crfop.gdos.gov.pl/CRFOP/widok/viewuzytekekologiczny.jsf?fop=","PL.ZIPOP.1393.UE.1007023.838"),"(kliknij lub Ctrl+kliknij)")</f>
        <v>(kliknij lub Ctrl+kliknij)</v>
      </c>
      <c r="H2344" s="0" t="s">
        <v>1342</v>
      </c>
    </row>
    <row r="2345" customFormat="false" ht="12.8" hidden="false" customHeight="false" outlineLevel="0" collapsed="false">
      <c r="A2345" s="1" t="s">
        <v>1192</v>
      </c>
      <c r="C2345" s="3" t="s">
        <v>1344</v>
      </c>
      <c r="D2345" s="4" t="s">
        <v>1330</v>
      </c>
      <c r="F2345" s="6" t="s">
        <v>1345</v>
      </c>
      <c r="G2345" s="7" t="str">
        <f aca="false">HYPERLINK(CONCATENATE("http://crfop.gdos.gov.pl/CRFOP/widok/viewuzytekekologiczny.jsf?fop=","PL.ZIPOP.1393.UE.1007023.839"),"(kliknij lub Ctrl+kliknij)")</f>
        <v>(kliknij lub Ctrl+kliknij)</v>
      </c>
      <c r="H2345" s="0" t="s">
        <v>1342</v>
      </c>
    </row>
    <row r="2346" customFormat="false" ht="12.8" hidden="false" customHeight="false" outlineLevel="0" collapsed="false">
      <c r="A2346" s="1" t="s">
        <v>1192</v>
      </c>
      <c r="C2346" s="3" t="s">
        <v>1344</v>
      </c>
      <c r="D2346" s="4" t="s">
        <v>1346</v>
      </c>
      <c r="F2346" s="6" t="s">
        <v>1345</v>
      </c>
      <c r="G2346" s="7" t="str">
        <f aca="false">HYPERLINK(CONCATENATE("http://crfop.gdos.gov.pl/CRFOP/widok/viewuzytekekologiczny.jsf?fop=","PL.ZIPOP.1393.UE.1007023.840"),"(kliknij lub Ctrl+kliknij)")</f>
        <v>(kliknij lub Ctrl+kliknij)</v>
      </c>
      <c r="H2346" s="0" t="s">
        <v>1342</v>
      </c>
    </row>
    <row r="2347" customFormat="false" ht="12.8" hidden="false" customHeight="false" outlineLevel="0" collapsed="false">
      <c r="A2347" s="1" t="s">
        <v>1192</v>
      </c>
      <c r="C2347" s="3" t="s">
        <v>574</v>
      </c>
      <c r="D2347" s="4" t="s">
        <v>1241</v>
      </c>
      <c r="F2347" s="6" t="s">
        <v>1198</v>
      </c>
      <c r="G2347" s="7" t="str">
        <f aca="false">HYPERLINK(CONCATENATE("http://crfop.gdos.gov.pl/CRFOP/widok/viewuzytekekologiczny.jsf?fop=","PL.ZIPOP.1393.UE.1007032.363"),"(kliknij lub Ctrl+kliknij)")</f>
        <v>(kliknij lub Ctrl+kliknij)</v>
      </c>
      <c r="H2347" s="0" t="s">
        <v>1347</v>
      </c>
    </row>
    <row r="2348" customFormat="false" ht="12.8" hidden="false" customHeight="false" outlineLevel="0" collapsed="false">
      <c r="A2348" s="1" t="s">
        <v>1192</v>
      </c>
      <c r="B2348" s="2" t="s">
        <v>1348</v>
      </c>
      <c r="C2348" s="3" t="s">
        <v>574</v>
      </c>
      <c r="D2348" s="4" t="s">
        <v>1349</v>
      </c>
      <c r="F2348" s="6" t="s">
        <v>1198</v>
      </c>
      <c r="G2348" s="7" t="str">
        <f aca="false">HYPERLINK(CONCATENATE("http://crfop.gdos.gov.pl/CRFOP/widok/viewuzytekekologiczny.jsf?fop=","PL.ZIPOP.1393.UE.1007032.841"),"(kliknij lub Ctrl+kliknij)")</f>
        <v>(kliknij lub Ctrl+kliknij)</v>
      </c>
      <c r="H2348" s="0" t="s">
        <v>1347</v>
      </c>
    </row>
    <row r="2349" customFormat="false" ht="12.8" hidden="false" customHeight="false" outlineLevel="0" collapsed="false">
      <c r="A2349" s="1" t="s">
        <v>1192</v>
      </c>
      <c r="B2349" s="2" t="s">
        <v>1350</v>
      </c>
      <c r="C2349" s="3" t="s">
        <v>574</v>
      </c>
      <c r="D2349" s="4" t="s">
        <v>1338</v>
      </c>
      <c r="F2349" s="6" t="s">
        <v>1198</v>
      </c>
      <c r="G2349" s="7" t="str">
        <f aca="false">HYPERLINK(CONCATENATE("http://crfop.gdos.gov.pl/CRFOP/widok/viewuzytekekologiczny.jsf?fop=","PL.ZIPOP.1393.UE.1007032.842"),"(kliknij lub Ctrl+kliknij)")</f>
        <v>(kliknij lub Ctrl+kliknij)</v>
      </c>
      <c r="H2349" s="0" t="s">
        <v>1347</v>
      </c>
    </row>
    <row r="2350" customFormat="false" ht="12.8" hidden="false" customHeight="false" outlineLevel="0" collapsed="false">
      <c r="A2350" s="1" t="s">
        <v>1192</v>
      </c>
      <c r="B2350" s="2" t="s">
        <v>1348</v>
      </c>
      <c r="C2350" s="3" t="s">
        <v>574</v>
      </c>
      <c r="D2350" s="4" t="s">
        <v>1351</v>
      </c>
      <c r="F2350" s="6" t="s">
        <v>1198</v>
      </c>
      <c r="G2350" s="7" t="str">
        <f aca="false">HYPERLINK(CONCATENATE("http://crfop.gdos.gov.pl/CRFOP/widok/viewuzytekekologiczny.jsf?fop=","PL.ZIPOP.1393.UE.1007032.843"),"(kliknij lub Ctrl+kliknij)")</f>
        <v>(kliknij lub Ctrl+kliknij)</v>
      </c>
      <c r="H2350" s="0" t="s">
        <v>1347</v>
      </c>
    </row>
    <row r="2351" customFormat="false" ht="12.8" hidden="false" customHeight="false" outlineLevel="0" collapsed="false">
      <c r="A2351" s="1" t="s">
        <v>1192</v>
      </c>
      <c r="B2351" s="2" t="s">
        <v>1348</v>
      </c>
      <c r="C2351" s="3" t="s">
        <v>574</v>
      </c>
      <c r="D2351" s="4" t="s">
        <v>1308</v>
      </c>
      <c r="F2351" s="6" t="s">
        <v>1198</v>
      </c>
      <c r="G2351" s="7" t="str">
        <f aca="false">HYPERLINK(CONCATENATE("http://crfop.gdos.gov.pl/CRFOP/widok/viewuzytekekologiczny.jsf?fop=","PL.ZIPOP.1393.UE.1007032.844"),"(kliknij lub Ctrl+kliknij)")</f>
        <v>(kliknij lub Ctrl+kliknij)</v>
      </c>
      <c r="H2351" s="0" t="s">
        <v>1347</v>
      </c>
    </row>
    <row r="2352" customFormat="false" ht="12.8" hidden="false" customHeight="false" outlineLevel="0" collapsed="false">
      <c r="A2352" s="1" t="s">
        <v>1192</v>
      </c>
      <c r="B2352" s="2" t="s">
        <v>1348</v>
      </c>
      <c r="C2352" s="3" t="s">
        <v>574</v>
      </c>
      <c r="D2352" s="4" t="s">
        <v>1352</v>
      </c>
      <c r="F2352" s="6" t="s">
        <v>1198</v>
      </c>
      <c r="G2352" s="7" t="str">
        <f aca="false">HYPERLINK(CONCATENATE("http://crfop.gdos.gov.pl/CRFOP/widok/viewuzytekekologiczny.jsf?fop=","PL.ZIPOP.1393.UE.1007032.845"),"(kliknij lub Ctrl+kliknij)")</f>
        <v>(kliknij lub Ctrl+kliknij)</v>
      </c>
      <c r="H2352" s="0" t="s">
        <v>1347</v>
      </c>
    </row>
    <row r="2353" customFormat="false" ht="12.8" hidden="false" customHeight="false" outlineLevel="0" collapsed="false">
      <c r="A2353" s="1" t="s">
        <v>1192</v>
      </c>
      <c r="B2353" s="2" t="s">
        <v>1348</v>
      </c>
      <c r="C2353" s="3" t="s">
        <v>574</v>
      </c>
      <c r="D2353" s="4" t="s">
        <v>1353</v>
      </c>
      <c r="F2353" s="6" t="s">
        <v>1198</v>
      </c>
      <c r="G2353" s="7" t="str">
        <f aca="false">HYPERLINK(CONCATENATE("http://crfop.gdos.gov.pl/CRFOP/widok/viewuzytekekologiczny.jsf?fop=","PL.ZIPOP.1393.UE.1007032.846"),"(kliknij lub Ctrl+kliknij)")</f>
        <v>(kliknij lub Ctrl+kliknij)</v>
      </c>
      <c r="H2353" s="0" t="s">
        <v>1347</v>
      </c>
    </row>
    <row r="2354" customFormat="false" ht="12.8" hidden="false" customHeight="false" outlineLevel="0" collapsed="false">
      <c r="A2354" s="1" t="s">
        <v>1192</v>
      </c>
      <c r="B2354" s="2" t="s">
        <v>1348</v>
      </c>
      <c r="C2354" s="3" t="s">
        <v>574</v>
      </c>
      <c r="D2354" s="4" t="s">
        <v>1245</v>
      </c>
      <c r="F2354" s="6" t="s">
        <v>1198</v>
      </c>
      <c r="G2354" s="7" t="str">
        <f aca="false">HYPERLINK(CONCATENATE("http://crfop.gdos.gov.pl/CRFOP/widok/viewuzytekekologiczny.jsf?fop=","PL.ZIPOP.1393.UE.1007032.847"),"(kliknij lub Ctrl+kliknij)")</f>
        <v>(kliknij lub Ctrl+kliknij)</v>
      </c>
      <c r="H2354" s="0" t="s">
        <v>1347</v>
      </c>
    </row>
    <row r="2355" customFormat="false" ht="12.8" hidden="false" customHeight="false" outlineLevel="0" collapsed="false">
      <c r="A2355" s="1" t="s">
        <v>1192</v>
      </c>
      <c r="B2355" s="2" t="s">
        <v>1348</v>
      </c>
      <c r="C2355" s="3" t="s">
        <v>574</v>
      </c>
      <c r="D2355" s="4" t="s">
        <v>1354</v>
      </c>
      <c r="F2355" s="6" t="s">
        <v>1198</v>
      </c>
      <c r="G2355" s="7" t="str">
        <f aca="false">HYPERLINK(CONCATENATE("http://crfop.gdos.gov.pl/CRFOP/widok/viewuzytekekologiczny.jsf?fop=","PL.ZIPOP.1393.UE.1007032.848"),"(kliknij lub Ctrl+kliknij)")</f>
        <v>(kliknij lub Ctrl+kliknij)</v>
      </c>
      <c r="H2355" s="0" t="s">
        <v>1347</v>
      </c>
    </row>
    <row r="2356" customFormat="false" ht="12.8" hidden="false" customHeight="false" outlineLevel="0" collapsed="false">
      <c r="A2356" s="1" t="s">
        <v>1192</v>
      </c>
      <c r="B2356" s="2" t="s">
        <v>1348</v>
      </c>
      <c r="C2356" s="3" t="s">
        <v>574</v>
      </c>
      <c r="D2356" s="4" t="s">
        <v>1355</v>
      </c>
      <c r="F2356" s="6" t="s">
        <v>1198</v>
      </c>
      <c r="G2356" s="7" t="str">
        <f aca="false">HYPERLINK(CONCATENATE("http://crfop.gdos.gov.pl/CRFOP/widok/viewuzytekekologiczny.jsf?fop=","PL.ZIPOP.1393.UE.1007032.849"),"(kliknij lub Ctrl+kliknij)")</f>
        <v>(kliknij lub Ctrl+kliknij)</v>
      </c>
      <c r="H2356" s="0" t="s">
        <v>1347</v>
      </c>
    </row>
    <row r="2357" customFormat="false" ht="12.8" hidden="false" customHeight="false" outlineLevel="0" collapsed="false">
      <c r="A2357" s="1" t="s">
        <v>1192</v>
      </c>
      <c r="C2357" s="3" t="s">
        <v>574</v>
      </c>
      <c r="D2357" s="4" t="s">
        <v>1356</v>
      </c>
      <c r="F2357" s="6" t="s">
        <v>1198</v>
      </c>
      <c r="G2357" s="7" t="str">
        <f aca="false">HYPERLINK(CONCATENATE("http://crfop.gdos.gov.pl/CRFOP/widok/viewuzytekekologiczny.jsf?fop=","PL.ZIPOP.1393.UE.1007043.167"),"(kliknij lub Ctrl+kliknij)")</f>
        <v>(kliknij lub Ctrl+kliknij)</v>
      </c>
      <c r="H2357" s="0" t="s">
        <v>725</v>
      </c>
    </row>
    <row r="2358" customFormat="false" ht="12.8" hidden="false" customHeight="false" outlineLevel="0" collapsed="false">
      <c r="A2358" s="1" t="s">
        <v>1192</v>
      </c>
      <c r="C2358" s="3" t="s">
        <v>574</v>
      </c>
      <c r="D2358" s="4" t="s">
        <v>1246</v>
      </c>
      <c r="F2358" s="6" t="s">
        <v>1198</v>
      </c>
      <c r="G2358" s="7" t="str">
        <f aca="false">HYPERLINK(CONCATENATE("http://crfop.gdos.gov.pl/CRFOP/widok/viewuzytekekologiczny.jsf?fop=","PL.ZIPOP.1393.UE.1007043.168"),"(kliknij lub Ctrl+kliknij)")</f>
        <v>(kliknij lub Ctrl+kliknij)</v>
      </c>
      <c r="H2358" s="0" t="s">
        <v>725</v>
      </c>
    </row>
    <row r="2359" customFormat="false" ht="12.8" hidden="false" customHeight="false" outlineLevel="0" collapsed="false">
      <c r="A2359" s="1" t="s">
        <v>1192</v>
      </c>
      <c r="C2359" s="3" t="s">
        <v>574</v>
      </c>
      <c r="D2359" s="4" t="s">
        <v>1235</v>
      </c>
      <c r="F2359" s="6" t="s">
        <v>1198</v>
      </c>
      <c r="G2359" s="7" t="str">
        <f aca="false">HYPERLINK(CONCATENATE("http://crfop.gdos.gov.pl/CRFOP/widok/viewuzytekekologiczny.jsf?fop=","PL.ZIPOP.1393.UE.1007043.169"),"(kliknij lub Ctrl+kliknij)")</f>
        <v>(kliknij lub Ctrl+kliknij)</v>
      </c>
      <c r="H2359" s="0" t="s">
        <v>725</v>
      </c>
    </row>
    <row r="2360" customFormat="false" ht="12.8" hidden="false" customHeight="false" outlineLevel="0" collapsed="false">
      <c r="A2360" s="1" t="s">
        <v>1192</v>
      </c>
      <c r="C2360" s="3" t="s">
        <v>574</v>
      </c>
      <c r="D2360" s="4" t="s">
        <v>1328</v>
      </c>
      <c r="F2360" s="6" t="s">
        <v>1198</v>
      </c>
      <c r="G2360" s="7" t="str">
        <f aca="false">HYPERLINK(CONCATENATE("http://crfop.gdos.gov.pl/CRFOP/widok/viewuzytekekologiczny.jsf?fop=","PL.ZIPOP.1393.UE.1007043.324"),"(kliknij lub Ctrl+kliknij)")</f>
        <v>(kliknij lub Ctrl+kliknij)</v>
      </c>
      <c r="H2360" s="0" t="s">
        <v>725</v>
      </c>
    </row>
    <row r="2361" customFormat="false" ht="12.8" hidden="false" customHeight="false" outlineLevel="0" collapsed="false">
      <c r="A2361" s="1" t="s">
        <v>1192</v>
      </c>
      <c r="C2361" s="3" t="s">
        <v>574</v>
      </c>
      <c r="D2361" s="4" t="s">
        <v>1357</v>
      </c>
      <c r="F2361" s="6" t="s">
        <v>1198</v>
      </c>
      <c r="G2361" s="7" t="str">
        <f aca="false">HYPERLINK(CONCATENATE("http://crfop.gdos.gov.pl/CRFOP/widok/viewuzytekekologiczny.jsf?fop=","PL.ZIPOP.1393.UE.1007043.325"),"(kliknij lub Ctrl+kliknij)")</f>
        <v>(kliknij lub Ctrl+kliknij)</v>
      </c>
      <c r="H2361" s="0" t="s">
        <v>725</v>
      </c>
    </row>
    <row r="2362" customFormat="false" ht="12.8" hidden="false" customHeight="false" outlineLevel="0" collapsed="false">
      <c r="A2362" s="1" t="s">
        <v>1192</v>
      </c>
      <c r="C2362" s="3" t="s">
        <v>574</v>
      </c>
      <c r="D2362" s="4" t="s">
        <v>1358</v>
      </c>
      <c r="F2362" s="6" t="s">
        <v>1198</v>
      </c>
      <c r="G2362" s="7" t="str">
        <f aca="false">HYPERLINK(CONCATENATE("http://crfop.gdos.gov.pl/CRFOP/widok/viewuzytekekologiczny.jsf?fop=","PL.ZIPOP.1393.UE.1007052.158"),"(kliknij lub Ctrl+kliknij)")</f>
        <v>(kliknij lub Ctrl+kliknij)</v>
      </c>
      <c r="H2362" s="0" t="s">
        <v>726</v>
      </c>
    </row>
    <row r="2363" customFormat="false" ht="12.8" hidden="false" customHeight="false" outlineLevel="0" collapsed="false">
      <c r="A2363" s="1" t="s">
        <v>1192</v>
      </c>
      <c r="C2363" s="3" t="s">
        <v>574</v>
      </c>
      <c r="D2363" s="4" t="s">
        <v>1209</v>
      </c>
      <c r="F2363" s="6" t="s">
        <v>1198</v>
      </c>
      <c r="G2363" s="7" t="str">
        <f aca="false">HYPERLINK(CONCATENATE("http://crfop.gdos.gov.pl/CRFOP/widok/viewuzytekekologiczny.jsf?fop=","PL.ZIPOP.1393.UE.1007062.823"),"(kliknij lub Ctrl+kliknij)")</f>
        <v>(kliknij lub Ctrl+kliknij)</v>
      </c>
      <c r="H2363" s="0" t="s">
        <v>727</v>
      </c>
    </row>
    <row r="2364" customFormat="false" ht="12.8" hidden="false" customHeight="false" outlineLevel="0" collapsed="false">
      <c r="A2364" s="1" t="s">
        <v>1192</v>
      </c>
      <c r="C2364" s="3" t="s">
        <v>574</v>
      </c>
      <c r="D2364" s="4" t="s">
        <v>1281</v>
      </c>
      <c r="F2364" s="6" t="s">
        <v>1198</v>
      </c>
      <c r="G2364" s="7" t="str">
        <f aca="false">HYPERLINK(CONCATENATE("http://crfop.gdos.gov.pl/CRFOP/widok/viewuzytekekologiczny.jsf?fop=","PL.ZIPOP.1393.UE.1007062.824"),"(kliknij lub Ctrl+kliknij)")</f>
        <v>(kliknij lub Ctrl+kliknij)</v>
      </c>
      <c r="H2364" s="0" t="s">
        <v>727</v>
      </c>
    </row>
    <row r="2365" customFormat="false" ht="12.8" hidden="false" customHeight="false" outlineLevel="0" collapsed="false">
      <c r="A2365" s="1" t="s">
        <v>1192</v>
      </c>
      <c r="C2365" s="3" t="s">
        <v>574</v>
      </c>
      <c r="D2365" s="4" t="s">
        <v>1213</v>
      </c>
      <c r="F2365" s="6" t="s">
        <v>1198</v>
      </c>
      <c r="G2365" s="7" t="str">
        <f aca="false">HYPERLINK(CONCATENATE("http://crfop.gdos.gov.pl/CRFOP/widok/viewuzytekekologiczny.jsf?fop=","PL.ZIPOP.1393.UE.1007062.825"),"(kliknij lub Ctrl+kliknij)")</f>
        <v>(kliknij lub Ctrl+kliknij)</v>
      </c>
      <c r="H2365" s="0" t="s">
        <v>727</v>
      </c>
    </row>
    <row r="2366" customFormat="false" ht="12.8" hidden="false" customHeight="false" outlineLevel="0" collapsed="false">
      <c r="A2366" s="1" t="s">
        <v>1192</v>
      </c>
      <c r="C2366" s="3" t="s">
        <v>574</v>
      </c>
      <c r="D2366" s="4" t="s">
        <v>1203</v>
      </c>
      <c r="F2366" s="6" t="s">
        <v>1198</v>
      </c>
      <c r="G2366" s="7" t="str">
        <f aca="false">HYPERLINK(CONCATENATE("http://crfop.gdos.gov.pl/CRFOP/widok/viewuzytekekologiczny.jsf?fop=","PL.ZIPOP.1393.UE.1007062.826"),"(kliknij lub Ctrl+kliknij)")</f>
        <v>(kliknij lub Ctrl+kliknij)</v>
      </c>
      <c r="H2366" s="0" t="s">
        <v>727</v>
      </c>
    </row>
    <row r="2367" customFormat="false" ht="12.8" hidden="false" customHeight="false" outlineLevel="0" collapsed="false">
      <c r="A2367" s="1" t="s">
        <v>1192</v>
      </c>
      <c r="C2367" s="3" t="s">
        <v>574</v>
      </c>
      <c r="D2367" s="4" t="s">
        <v>1302</v>
      </c>
      <c r="F2367" s="6" t="s">
        <v>1198</v>
      </c>
      <c r="G2367" s="7" t="str">
        <f aca="false">HYPERLINK(CONCATENATE("http://crfop.gdos.gov.pl/CRFOP/widok/viewuzytekekologiczny.jsf?fop=","PL.ZIPOP.1393.UE.1007062.827"),"(kliknij lub Ctrl+kliknij)")</f>
        <v>(kliknij lub Ctrl+kliknij)</v>
      </c>
      <c r="H2367" s="0" t="s">
        <v>727</v>
      </c>
    </row>
    <row r="2368" customFormat="false" ht="12.8" hidden="false" customHeight="false" outlineLevel="0" collapsed="false">
      <c r="A2368" s="1" t="s">
        <v>1192</v>
      </c>
      <c r="C2368" s="3" t="s">
        <v>574</v>
      </c>
      <c r="D2368" s="4" t="s">
        <v>1239</v>
      </c>
      <c r="F2368" s="6" t="s">
        <v>1198</v>
      </c>
      <c r="G2368" s="7" t="str">
        <f aca="false">HYPERLINK(CONCATENATE("http://crfop.gdos.gov.pl/CRFOP/widok/viewuzytekekologiczny.jsf?fop=","PL.ZIPOP.1393.UE.1007062.828"),"(kliknij lub Ctrl+kliknij)")</f>
        <v>(kliknij lub Ctrl+kliknij)</v>
      </c>
      <c r="H2368" s="0" t="s">
        <v>727</v>
      </c>
    </row>
    <row r="2369" customFormat="false" ht="12.8" hidden="false" customHeight="false" outlineLevel="0" collapsed="false">
      <c r="A2369" s="1" t="s">
        <v>1192</v>
      </c>
      <c r="C2369" s="3" t="s">
        <v>574</v>
      </c>
      <c r="D2369" s="4" t="s">
        <v>1359</v>
      </c>
      <c r="F2369" s="6" t="s">
        <v>1198</v>
      </c>
      <c r="G2369" s="7" t="str">
        <f aca="false">HYPERLINK(CONCATENATE("http://crfop.gdos.gov.pl/CRFOP/widok/viewuzytekekologiczny.jsf?fop=","PL.ZIPOP.1393.UE.1007062.829"),"(kliknij lub Ctrl+kliknij)")</f>
        <v>(kliknij lub Ctrl+kliknij)</v>
      </c>
      <c r="H2369" s="0" t="s">
        <v>727</v>
      </c>
    </row>
    <row r="2370" customFormat="false" ht="12.8" hidden="false" customHeight="false" outlineLevel="0" collapsed="false">
      <c r="A2370" s="1" t="s">
        <v>1192</v>
      </c>
      <c r="C2370" s="3" t="s">
        <v>574</v>
      </c>
      <c r="D2370" s="4" t="s">
        <v>1360</v>
      </c>
      <c r="F2370" s="6" t="s">
        <v>1198</v>
      </c>
      <c r="G2370" s="7" t="str">
        <f aca="false">HYPERLINK(CONCATENATE("http://crfop.gdos.gov.pl/CRFOP/widok/viewuzytekekologiczny.jsf?fop=","PL.ZIPOP.1393.UE.1007062.830"),"(kliknij lub Ctrl+kliknij)")</f>
        <v>(kliknij lub Ctrl+kliknij)</v>
      </c>
      <c r="H2370" s="0" t="s">
        <v>727</v>
      </c>
    </row>
    <row r="2371" customFormat="false" ht="12.8" hidden="false" customHeight="false" outlineLevel="0" collapsed="false">
      <c r="A2371" s="1" t="s">
        <v>1192</v>
      </c>
      <c r="C2371" s="3" t="s">
        <v>574</v>
      </c>
      <c r="D2371" s="4" t="s">
        <v>1232</v>
      </c>
      <c r="F2371" s="6" t="s">
        <v>1198</v>
      </c>
      <c r="G2371" s="7" t="str">
        <f aca="false">HYPERLINK(CONCATENATE("http://crfop.gdos.gov.pl/CRFOP/widok/viewuzytekekologiczny.jsf?fop=","PL.ZIPOP.1393.UE.1007062.831"),"(kliknij lub Ctrl+kliknij)")</f>
        <v>(kliknij lub Ctrl+kliknij)</v>
      </c>
      <c r="H2371" s="0" t="s">
        <v>727</v>
      </c>
    </row>
    <row r="2372" customFormat="false" ht="12.8" hidden="false" customHeight="false" outlineLevel="0" collapsed="false">
      <c r="A2372" s="1" t="s">
        <v>1192</v>
      </c>
      <c r="C2372" s="3" t="s">
        <v>574</v>
      </c>
      <c r="D2372" s="4" t="s">
        <v>1361</v>
      </c>
      <c r="F2372" s="6" t="s">
        <v>1198</v>
      </c>
      <c r="G2372" s="7" t="str">
        <f aca="false">HYPERLINK(CONCATENATE("http://crfop.gdos.gov.pl/CRFOP/widok/viewuzytekekologiczny.jsf?fop=","PL.ZIPOP.1393.UE.1007062.832"),"(kliknij lub Ctrl+kliknij)")</f>
        <v>(kliknij lub Ctrl+kliknij)</v>
      </c>
      <c r="H2372" s="0" t="s">
        <v>727</v>
      </c>
    </row>
    <row r="2373" customFormat="false" ht="12.8" hidden="false" customHeight="false" outlineLevel="0" collapsed="false">
      <c r="A2373" s="1" t="s">
        <v>1192</v>
      </c>
      <c r="C2373" s="3" t="s">
        <v>574</v>
      </c>
      <c r="D2373" s="4" t="s">
        <v>1362</v>
      </c>
      <c r="F2373" s="6" t="s">
        <v>1198</v>
      </c>
      <c r="G2373" s="7" t="str">
        <f aca="false">HYPERLINK(CONCATENATE("http://crfop.gdos.gov.pl/CRFOP/widok/viewuzytekekologiczny.jsf?fop=","PL.ZIPOP.1393.UE.1007062.833"),"(kliknij lub Ctrl+kliknij)")</f>
        <v>(kliknij lub Ctrl+kliknij)</v>
      </c>
      <c r="H2373" s="0" t="s">
        <v>727</v>
      </c>
    </row>
    <row r="2374" customFormat="false" ht="12.8" hidden="false" customHeight="false" outlineLevel="0" collapsed="false">
      <c r="A2374" s="1" t="s">
        <v>1192</v>
      </c>
      <c r="C2374" s="3" t="s">
        <v>1193</v>
      </c>
      <c r="D2374" s="4" t="s">
        <v>1363</v>
      </c>
      <c r="F2374" s="6" t="s">
        <v>1195</v>
      </c>
      <c r="G2374" s="7" t="str">
        <f aca="false">HYPERLINK(CONCATENATE("http://crfop.gdos.gov.pl/CRFOP/widok/viewuzytekekologiczny.jsf?fop=","PL.ZIPOP.1393.UE.1007062.834"),"(kliknij lub Ctrl+kliknij)")</f>
        <v>(kliknij lub Ctrl+kliknij)</v>
      </c>
      <c r="H2374" s="0" t="s">
        <v>727</v>
      </c>
    </row>
    <row r="2375" customFormat="false" ht="12.8" hidden="false" customHeight="false" outlineLevel="0" collapsed="false">
      <c r="A2375" s="1" t="s">
        <v>1192</v>
      </c>
      <c r="C2375" s="3" t="s">
        <v>1193</v>
      </c>
      <c r="D2375" s="4" t="s">
        <v>1364</v>
      </c>
      <c r="F2375" s="6" t="s">
        <v>1195</v>
      </c>
      <c r="G2375" s="7" t="str">
        <f aca="false">HYPERLINK(CONCATENATE("http://crfop.gdos.gov.pl/CRFOP/widok/viewuzytekekologiczny.jsf?fop=","PL.ZIPOP.1393.UE.1007062.835"),"(kliknij lub Ctrl+kliknij)")</f>
        <v>(kliknij lub Ctrl+kliknij)</v>
      </c>
      <c r="H2375" s="0" t="s">
        <v>727</v>
      </c>
    </row>
    <row r="2376" customFormat="false" ht="12.8" hidden="false" customHeight="false" outlineLevel="0" collapsed="false">
      <c r="A2376" s="1" t="s">
        <v>1192</v>
      </c>
      <c r="C2376" s="3" t="s">
        <v>574</v>
      </c>
      <c r="D2376" s="4" t="s">
        <v>1365</v>
      </c>
      <c r="F2376" s="6" t="s">
        <v>1198</v>
      </c>
      <c r="G2376" s="7" t="str">
        <f aca="false">HYPERLINK(CONCATENATE("http://crfop.gdos.gov.pl/CRFOP/widok/viewuzytekekologiczny.jsf?fop=","PL.ZIPOP.1393.UE.1007072.361"),"(kliknij lub Ctrl+kliknij)")</f>
        <v>(kliknij lub Ctrl+kliknij)</v>
      </c>
      <c r="H2376" s="0" t="s">
        <v>1366</v>
      </c>
    </row>
    <row r="2377" customFormat="false" ht="12.8" hidden="false" customHeight="false" outlineLevel="0" collapsed="false">
      <c r="A2377" s="1" t="s">
        <v>1192</v>
      </c>
      <c r="C2377" s="3" t="s">
        <v>574</v>
      </c>
      <c r="D2377" s="4" t="s">
        <v>1367</v>
      </c>
      <c r="F2377" s="6" t="s">
        <v>1198</v>
      </c>
      <c r="G2377" s="7" t="str">
        <f aca="false">HYPERLINK(CONCATENATE("http://crfop.gdos.gov.pl/CRFOP/widok/viewuzytekekologiczny.jsf?fop=","PL.ZIPOP.1393.UE.1007072.362"),"(kliknij lub Ctrl+kliknij)")</f>
        <v>(kliknij lub Ctrl+kliknij)</v>
      </c>
      <c r="H2377" s="0" t="s">
        <v>1366</v>
      </c>
    </row>
    <row r="2378" customFormat="false" ht="12.8" hidden="false" customHeight="false" outlineLevel="0" collapsed="false">
      <c r="A2378" s="1" t="s">
        <v>1192</v>
      </c>
      <c r="C2378" s="3" t="s">
        <v>574</v>
      </c>
      <c r="D2378" s="4" t="s">
        <v>1368</v>
      </c>
      <c r="F2378" s="6" t="s">
        <v>1198</v>
      </c>
      <c r="G2378" s="7" t="str">
        <f aca="false">HYPERLINK(CONCATENATE("http://crfop.gdos.gov.pl/CRFOP/widok/viewuzytekekologiczny.jsf?fop=","PL.ZIPOP.1393.UE.1008032.2"),"(kliknij lub Ctrl+kliknij)")</f>
        <v>(kliknij lub Ctrl+kliknij)</v>
      </c>
      <c r="H2378" s="0" t="s">
        <v>738</v>
      </c>
    </row>
    <row r="2379" customFormat="false" ht="12.8" hidden="false" customHeight="false" outlineLevel="0" collapsed="false">
      <c r="A2379" s="1" t="s">
        <v>1192</v>
      </c>
      <c r="C2379" s="3" t="s">
        <v>574</v>
      </c>
      <c r="D2379" s="4" t="s">
        <v>1369</v>
      </c>
      <c r="F2379" s="6" t="s">
        <v>1198</v>
      </c>
      <c r="G2379" s="7" t="str">
        <f aca="false">HYPERLINK(CONCATENATE("http://crfop.gdos.gov.pl/CRFOP/widok/viewuzytekekologiczny.jsf?fop=","PL.ZIPOP.1393.UE.1008032.874"),"(kliknij lub Ctrl+kliknij)")</f>
        <v>(kliknij lub Ctrl+kliknij)</v>
      </c>
      <c r="H2379" s="0" t="s">
        <v>738</v>
      </c>
    </row>
    <row r="2380" customFormat="false" ht="12.8" hidden="false" customHeight="false" outlineLevel="0" collapsed="false">
      <c r="A2380" s="1" t="s">
        <v>1192</v>
      </c>
      <c r="C2380" s="3" t="s">
        <v>574</v>
      </c>
      <c r="D2380" s="4" t="s">
        <v>1370</v>
      </c>
      <c r="F2380" s="6" t="s">
        <v>1198</v>
      </c>
      <c r="G2380" s="7" t="str">
        <f aca="false">HYPERLINK(CONCATENATE("http://crfop.gdos.gov.pl/CRFOP/widok/viewuzytekekologiczny.jsf?fop=","PL.ZIPOP.1393.UE.1008032.875"),"(kliknij lub Ctrl+kliknij)")</f>
        <v>(kliknij lub Ctrl+kliknij)</v>
      </c>
      <c r="H2380" s="0" t="s">
        <v>738</v>
      </c>
    </row>
    <row r="2381" customFormat="false" ht="12.8" hidden="false" customHeight="false" outlineLevel="0" collapsed="false">
      <c r="A2381" s="1" t="s">
        <v>1192</v>
      </c>
      <c r="C2381" s="3" t="s">
        <v>574</v>
      </c>
      <c r="D2381" s="4" t="s">
        <v>1371</v>
      </c>
      <c r="F2381" s="6" t="s">
        <v>1198</v>
      </c>
      <c r="G2381" s="7" t="str">
        <f aca="false">HYPERLINK(CONCATENATE("http://crfop.gdos.gov.pl/CRFOP/widok/viewuzytekekologiczny.jsf?fop=","PL.ZIPOP.1393.UE.1008032.877"),"(kliknij lub Ctrl+kliknij)")</f>
        <v>(kliknij lub Ctrl+kliknij)</v>
      </c>
      <c r="H2381" s="0" t="s">
        <v>738</v>
      </c>
    </row>
    <row r="2382" customFormat="false" ht="12.8" hidden="false" customHeight="false" outlineLevel="0" collapsed="false">
      <c r="A2382" s="1" t="s">
        <v>1192</v>
      </c>
      <c r="C2382" s="3" t="s">
        <v>574</v>
      </c>
      <c r="D2382" s="4" t="s">
        <v>1372</v>
      </c>
      <c r="F2382" s="6" t="s">
        <v>1198</v>
      </c>
      <c r="G2382" s="7" t="str">
        <f aca="false">HYPERLINK(CONCATENATE("http://crfop.gdos.gov.pl/CRFOP/widok/viewuzytekekologiczny.jsf?fop=","PL.ZIPOP.1393.UE.1008032.878"),"(kliknij lub Ctrl+kliknij)")</f>
        <v>(kliknij lub Ctrl+kliknij)</v>
      </c>
      <c r="H2382" s="0" t="s">
        <v>738</v>
      </c>
    </row>
    <row r="2383" customFormat="false" ht="12.8" hidden="false" customHeight="false" outlineLevel="0" collapsed="false">
      <c r="A2383" s="1" t="s">
        <v>1192</v>
      </c>
      <c r="C2383" s="3" t="s">
        <v>574</v>
      </c>
      <c r="D2383" s="4" t="s">
        <v>1240</v>
      </c>
      <c r="F2383" s="6" t="s">
        <v>1198</v>
      </c>
      <c r="G2383" s="7" t="str">
        <f aca="false">HYPERLINK(CONCATENATE("http://crfop.gdos.gov.pl/CRFOP/widok/viewuzytekekologiczny.jsf?fop=","PL.ZIPOP.1393.UE.1008032.879"),"(kliknij lub Ctrl+kliknij)")</f>
        <v>(kliknij lub Ctrl+kliknij)</v>
      </c>
      <c r="H2383" s="0" t="s">
        <v>738</v>
      </c>
    </row>
    <row r="2384" customFormat="false" ht="12.8" hidden="false" customHeight="false" outlineLevel="0" collapsed="false">
      <c r="A2384" s="1" t="s">
        <v>1192</v>
      </c>
      <c r="C2384" s="3" t="s">
        <v>467</v>
      </c>
      <c r="D2384" s="4" t="s">
        <v>1373</v>
      </c>
      <c r="F2384" s="6" t="s">
        <v>1374</v>
      </c>
      <c r="G2384" s="7" t="str">
        <f aca="false">HYPERLINK(CONCATENATE("http://crfop.gdos.gov.pl/CRFOP/widok/viewuzytekekologiczny.jsf?fop=","PL.ZIPOP.1393.UE.1008042.3"),"(kliknij lub Ctrl+kliknij)")</f>
        <v>(kliknij lub Ctrl+kliknij)</v>
      </c>
      <c r="H2384" s="0" t="s">
        <v>477</v>
      </c>
    </row>
    <row r="2385" customFormat="false" ht="12.8" hidden="false" customHeight="false" outlineLevel="0" collapsed="false">
      <c r="A2385" s="1" t="s">
        <v>1192</v>
      </c>
      <c r="C2385" s="3" t="s">
        <v>467</v>
      </c>
      <c r="D2385" s="4" t="s">
        <v>1375</v>
      </c>
      <c r="F2385" s="6" t="s">
        <v>1374</v>
      </c>
      <c r="G2385" s="7" t="str">
        <f aca="false">HYPERLINK(CONCATENATE("http://crfop.gdos.gov.pl/CRFOP/widok/viewuzytekekologiczny.jsf?fop=","PL.ZIPOP.1393.UE.1008042.4"),"(kliknij lub Ctrl+kliknij)")</f>
        <v>(kliknij lub Ctrl+kliknij)</v>
      </c>
      <c r="H2385" s="0" t="s">
        <v>477</v>
      </c>
    </row>
    <row r="2386" customFormat="false" ht="12.8" hidden="false" customHeight="false" outlineLevel="0" collapsed="false">
      <c r="A2386" s="1" t="s">
        <v>1192</v>
      </c>
      <c r="C2386" s="3" t="s">
        <v>467</v>
      </c>
      <c r="D2386" s="4" t="s">
        <v>1369</v>
      </c>
      <c r="F2386" s="6" t="s">
        <v>1374</v>
      </c>
      <c r="G2386" s="7" t="str">
        <f aca="false">HYPERLINK(CONCATENATE("http://crfop.gdos.gov.pl/CRFOP/widok/viewuzytekekologiczny.jsf?fop=","PL.ZIPOP.1393.UE.1008042.5"),"(kliknij lub Ctrl+kliknij)")</f>
        <v>(kliknij lub Ctrl+kliknij)</v>
      </c>
      <c r="H2386" s="0" t="s">
        <v>477</v>
      </c>
    </row>
    <row r="2387" customFormat="false" ht="12.8" hidden="false" customHeight="false" outlineLevel="0" collapsed="false">
      <c r="A2387" s="1" t="s">
        <v>1192</v>
      </c>
      <c r="C2387" s="3" t="s">
        <v>467</v>
      </c>
      <c r="D2387" s="4" t="s">
        <v>1314</v>
      </c>
      <c r="F2387" s="6" t="s">
        <v>1374</v>
      </c>
      <c r="G2387" s="7" t="str">
        <f aca="false">HYPERLINK(CONCATENATE("http://crfop.gdos.gov.pl/CRFOP/widok/viewuzytekekologiczny.jsf?fop=","PL.ZIPOP.1393.UE.1008042.6"),"(kliknij lub Ctrl+kliknij)")</f>
        <v>(kliknij lub Ctrl+kliknij)</v>
      </c>
      <c r="H2387" s="0" t="s">
        <v>477</v>
      </c>
    </row>
    <row r="2388" customFormat="false" ht="12.8" hidden="false" customHeight="false" outlineLevel="0" collapsed="false">
      <c r="A2388" s="1" t="s">
        <v>1192</v>
      </c>
      <c r="C2388" s="3" t="s">
        <v>1376</v>
      </c>
      <c r="D2388" s="4" t="s">
        <v>1336</v>
      </c>
      <c r="F2388" s="6" t="s">
        <v>1377</v>
      </c>
      <c r="G2388" s="7" t="str">
        <f aca="false">HYPERLINK(CONCATENATE("http://crfop.gdos.gov.pl/CRFOP/widok/viewuzytekekologiczny.jsf?fop=","PL.ZIPOP.1393.UE.1008042.7"),"(kliknij lub Ctrl+kliknij)")</f>
        <v>(kliknij lub Ctrl+kliknij)</v>
      </c>
      <c r="H2388" s="0" t="s">
        <v>477</v>
      </c>
    </row>
    <row r="2389" customFormat="false" ht="12.8" hidden="false" customHeight="false" outlineLevel="0" collapsed="false">
      <c r="A2389" s="1" t="s">
        <v>1192</v>
      </c>
      <c r="C2389" s="3" t="s">
        <v>471</v>
      </c>
      <c r="D2389" s="4" t="s">
        <v>1378</v>
      </c>
      <c r="F2389" s="6" t="s">
        <v>1312</v>
      </c>
      <c r="G2389" s="7" t="str">
        <f aca="false">HYPERLINK(CONCATENATE("http://crfop.gdos.gov.pl/CRFOP/widok/viewuzytekekologiczny.jsf?fop=","PL.ZIPOP.1393.UE.1008072.1"),"(kliknij lub Ctrl+kliknij)")</f>
        <v>(kliknij lub Ctrl+kliknij)</v>
      </c>
      <c r="H2389" s="0" t="s">
        <v>733</v>
      </c>
    </row>
    <row r="2390" customFormat="false" ht="12.8" hidden="false" customHeight="false" outlineLevel="0" collapsed="false">
      <c r="A2390" s="1" t="s">
        <v>1192</v>
      </c>
      <c r="C2390" s="3" t="s">
        <v>1379</v>
      </c>
      <c r="D2390" s="4" t="s">
        <v>1246</v>
      </c>
      <c r="F2390" s="6" t="s">
        <v>1380</v>
      </c>
      <c r="G2390" s="7" t="str">
        <f aca="false">HYPERLINK(CONCATENATE("http://crfop.gdos.gov.pl/CRFOP/widok/viewuzytekekologiczny.jsf?fop=","PL.ZIPOP.1393.UE.1009022.818"),"(kliknij lub Ctrl+kliknij)")</f>
        <v>(kliknij lub Ctrl+kliknij)</v>
      </c>
      <c r="H2390" s="0" t="s">
        <v>745</v>
      </c>
    </row>
    <row r="2391" customFormat="false" ht="12.8" hidden="false" customHeight="false" outlineLevel="0" collapsed="false">
      <c r="A2391" s="1" t="s">
        <v>1192</v>
      </c>
      <c r="C2391" s="3" t="s">
        <v>1379</v>
      </c>
      <c r="D2391" s="4" t="s">
        <v>1253</v>
      </c>
      <c r="F2391" s="6" t="s">
        <v>1380</v>
      </c>
      <c r="G2391" s="7" t="str">
        <f aca="false">HYPERLINK(CONCATENATE("http://crfop.gdos.gov.pl/CRFOP/widok/viewuzytekekologiczny.jsf?fop=","PL.ZIPOP.1393.UE.1009022.819"),"(kliknij lub Ctrl+kliknij)")</f>
        <v>(kliknij lub Ctrl+kliknij)</v>
      </c>
      <c r="H2391" s="0" t="s">
        <v>745</v>
      </c>
    </row>
    <row r="2392" customFormat="false" ht="12.8" hidden="false" customHeight="false" outlineLevel="0" collapsed="false">
      <c r="A2392" s="1" t="s">
        <v>1192</v>
      </c>
      <c r="B2392" s="2" t="s">
        <v>1381</v>
      </c>
      <c r="C2392" s="3" t="s">
        <v>1382</v>
      </c>
      <c r="D2392" s="4" t="s">
        <v>1383</v>
      </c>
      <c r="F2392" s="6" t="s">
        <v>1384</v>
      </c>
      <c r="G2392" s="7" t="str">
        <f aca="false">HYPERLINK(CONCATENATE("http://crfop.gdos.gov.pl/CRFOP/widok/viewuzytekekologiczny.jsf?fop=","PL.ZIPOP.1393.UE.1009043.820"),"(kliknij lub Ctrl+kliknij)")</f>
        <v>(kliknij lub Ctrl+kliknij)</v>
      </c>
      <c r="H2392" s="0" t="s">
        <v>746</v>
      </c>
    </row>
    <row r="2393" customFormat="false" ht="12.8" hidden="false" customHeight="false" outlineLevel="0" collapsed="false">
      <c r="A2393" s="1" t="s">
        <v>1192</v>
      </c>
      <c r="B2393" s="2" t="s">
        <v>1385</v>
      </c>
      <c r="C2393" s="3" t="s">
        <v>1382</v>
      </c>
      <c r="D2393" s="4" t="s">
        <v>1386</v>
      </c>
      <c r="F2393" s="6" t="s">
        <v>1384</v>
      </c>
      <c r="G2393" s="7" t="str">
        <f aca="false">HYPERLINK(CONCATENATE("http://crfop.gdos.gov.pl/CRFOP/widok/viewuzytekekologiczny.jsf?fop=","PL.ZIPOP.1393.UE.1009043.821"),"(kliknij lub Ctrl+kliknij)")</f>
        <v>(kliknij lub Ctrl+kliknij)</v>
      </c>
      <c r="H2393" s="0" t="s">
        <v>746</v>
      </c>
    </row>
    <row r="2394" customFormat="false" ht="12.8" hidden="false" customHeight="false" outlineLevel="0" collapsed="false">
      <c r="A2394" s="1" t="s">
        <v>1192</v>
      </c>
      <c r="B2394" s="2" t="s">
        <v>1387</v>
      </c>
      <c r="C2394" s="3" t="s">
        <v>1382</v>
      </c>
      <c r="D2394" s="4" t="s">
        <v>1221</v>
      </c>
      <c r="F2394" s="6" t="s">
        <v>1384</v>
      </c>
      <c r="G2394" s="7" t="str">
        <f aca="false">HYPERLINK(CONCATENATE("http://crfop.gdos.gov.pl/CRFOP/widok/viewuzytekekologiczny.jsf?fop=","PL.ZIPOP.1393.UE.1009072.822"),"(kliknij lub Ctrl+kliknij)")</f>
        <v>(kliknij lub Ctrl+kliknij)</v>
      </c>
      <c r="H2394" s="0" t="s">
        <v>1388</v>
      </c>
    </row>
    <row r="2395" customFormat="false" ht="12.8" hidden="false" customHeight="false" outlineLevel="0" collapsed="false">
      <c r="A2395" s="1" t="s">
        <v>1192</v>
      </c>
      <c r="C2395" s="3" t="s">
        <v>574</v>
      </c>
      <c r="D2395" s="4" t="s">
        <v>1358</v>
      </c>
      <c r="F2395" s="6" t="s">
        <v>1198</v>
      </c>
      <c r="G2395" s="7" t="str">
        <f aca="false">HYPERLINK(CONCATENATE("http://crfop.gdos.gov.pl/CRFOP/widok/viewuzytekekologiczny.jsf?fop=","PL.ZIPOP.1393.UE.1010012.200"),"(kliknij lub Ctrl+kliknij)")</f>
        <v>(kliknij lub Ctrl+kliknij)</v>
      </c>
      <c r="H2395" s="0" t="s">
        <v>757</v>
      </c>
    </row>
    <row r="2396" customFormat="false" ht="12.8" hidden="false" customHeight="false" outlineLevel="0" collapsed="false">
      <c r="A2396" s="1" t="s">
        <v>1192</v>
      </c>
      <c r="C2396" s="3" t="s">
        <v>574</v>
      </c>
      <c r="D2396" s="4" t="s">
        <v>1239</v>
      </c>
      <c r="F2396" s="6" t="s">
        <v>1198</v>
      </c>
      <c r="G2396" s="7" t="str">
        <f aca="false">HYPERLINK(CONCATENATE("http://crfop.gdos.gov.pl/CRFOP/widok/viewuzytekekologiczny.jsf?fop=","PL.ZIPOP.1393.UE.1010012.201"),"(kliknij lub Ctrl+kliknij)")</f>
        <v>(kliknij lub Ctrl+kliknij)</v>
      </c>
      <c r="H2396" s="0" t="s">
        <v>757</v>
      </c>
    </row>
    <row r="2397" customFormat="false" ht="12.8" hidden="false" customHeight="false" outlineLevel="0" collapsed="false">
      <c r="A2397" s="1" t="s">
        <v>1192</v>
      </c>
      <c r="C2397" s="3" t="s">
        <v>574</v>
      </c>
      <c r="D2397" s="4" t="s">
        <v>1229</v>
      </c>
      <c r="F2397" s="6" t="s">
        <v>1198</v>
      </c>
      <c r="G2397" s="7" t="str">
        <f aca="false">HYPERLINK(CONCATENATE("http://crfop.gdos.gov.pl/CRFOP/widok/viewuzytekekologiczny.jsf?fop=","PL.ZIPOP.1393.UE.1010012.202"),"(kliknij lub Ctrl+kliknij)")</f>
        <v>(kliknij lub Ctrl+kliknij)</v>
      </c>
      <c r="H2397" s="0" t="s">
        <v>757</v>
      </c>
    </row>
    <row r="2398" customFormat="false" ht="12.8" hidden="false" customHeight="false" outlineLevel="0" collapsed="false">
      <c r="A2398" s="1" t="s">
        <v>1192</v>
      </c>
      <c r="C2398" s="3" t="s">
        <v>574</v>
      </c>
      <c r="D2398" s="4" t="s">
        <v>1386</v>
      </c>
      <c r="F2398" s="6" t="s">
        <v>1198</v>
      </c>
      <c r="G2398" s="7" t="str">
        <f aca="false">HYPERLINK(CONCATENATE("http://crfop.gdos.gov.pl/CRFOP/widok/viewuzytekekologiczny.jsf?fop=","PL.ZIPOP.1393.UE.1010012.203"),"(kliknij lub Ctrl+kliknij)")</f>
        <v>(kliknij lub Ctrl+kliknij)</v>
      </c>
      <c r="H2398" s="0" t="s">
        <v>757</v>
      </c>
    </row>
    <row r="2399" customFormat="false" ht="12.8" hidden="false" customHeight="false" outlineLevel="0" collapsed="false">
      <c r="A2399" s="1" t="s">
        <v>1192</v>
      </c>
      <c r="C2399" s="3" t="s">
        <v>574</v>
      </c>
      <c r="D2399" s="4" t="s">
        <v>1389</v>
      </c>
      <c r="F2399" s="6" t="s">
        <v>1198</v>
      </c>
      <c r="G2399" s="7" t="str">
        <f aca="false">HYPERLINK(CONCATENATE("http://crfop.gdos.gov.pl/CRFOP/widok/viewuzytekekologiczny.jsf?fop=","PL.ZIPOP.1393.UE.1010012.204"),"(kliknij lub Ctrl+kliknij)")</f>
        <v>(kliknij lub Ctrl+kliknij)</v>
      </c>
      <c r="H2399" s="0" t="s">
        <v>757</v>
      </c>
    </row>
    <row r="2400" customFormat="false" ht="12.8" hidden="false" customHeight="false" outlineLevel="0" collapsed="false">
      <c r="A2400" s="1" t="s">
        <v>1192</v>
      </c>
      <c r="C2400" s="3" t="s">
        <v>574</v>
      </c>
      <c r="D2400" s="4" t="s">
        <v>1390</v>
      </c>
      <c r="F2400" s="6" t="s">
        <v>1198</v>
      </c>
      <c r="G2400" s="7" t="str">
        <f aca="false">HYPERLINK(CONCATENATE("http://crfop.gdos.gov.pl/CRFOP/widok/viewuzytekekologiczny.jsf?fop=","PL.ZIPOP.1393.UE.1010012.205"),"(kliknij lub Ctrl+kliknij)")</f>
        <v>(kliknij lub Ctrl+kliknij)</v>
      </c>
      <c r="H2400" s="0" t="s">
        <v>757</v>
      </c>
    </row>
    <row r="2401" customFormat="false" ht="12.8" hidden="false" customHeight="false" outlineLevel="0" collapsed="false">
      <c r="A2401" s="1" t="s">
        <v>1192</v>
      </c>
      <c r="C2401" s="3" t="s">
        <v>574</v>
      </c>
      <c r="D2401" s="4" t="s">
        <v>1231</v>
      </c>
      <c r="F2401" s="6" t="s">
        <v>1198</v>
      </c>
      <c r="G2401" s="7" t="str">
        <f aca="false">HYPERLINK(CONCATENATE("http://crfop.gdos.gov.pl/CRFOP/widok/viewuzytekekologiczny.jsf?fop=","PL.ZIPOP.1393.UE.1010012.206"),"(kliknij lub Ctrl+kliknij)")</f>
        <v>(kliknij lub Ctrl+kliknij)</v>
      </c>
      <c r="H2401" s="0" t="s">
        <v>757</v>
      </c>
    </row>
    <row r="2402" customFormat="false" ht="12.8" hidden="false" customHeight="false" outlineLevel="0" collapsed="false">
      <c r="A2402" s="1" t="s">
        <v>1192</v>
      </c>
      <c r="C2402" s="3" t="s">
        <v>574</v>
      </c>
      <c r="D2402" s="4" t="s">
        <v>1220</v>
      </c>
      <c r="F2402" s="6" t="s">
        <v>1198</v>
      </c>
      <c r="G2402" s="7" t="str">
        <f aca="false">HYPERLINK(CONCATENATE("http://crfop.gdos.gov.pl/CRFOP/widok/viewuzytekekologiczny.jsf?fop=","PL.ZIPOP.1393.UE.1010012.207"),"(kliknij lub Ctrl+kliknij)")</f>
        <v>(kliknij lub Ctrl+kliknij)</v>
      </c>
      <c r="H2402" s="0" t="s">
        <v>757</v>
      </c>
    </row>
    <row r="2403" customFormat="false" ht="12.8" hidden="false" customHeight="false" outlineLevel="0" collapsed="false">
      <c r="A2403" s="1" t="s">
        <v>1192</v>
      </c>
      <c r="C2403" s="3" t="s">
        <v>574</v>
      </c>
      <c r="D2403" s="4" t="s">
        <v>1391</v>
      </c>
      <c r="F2403" s="6" t="s">
        <v>1198</v>
      </c>
      <c r="G2403" s="7" t="str">
        <f aca="false">HYPERLINK(CONCATENATE("http://crfop.gdos.gov.pl/CRFOP/widok/viewuzytekekologiczny.jsf?fop=","PL.ZIPOP.1393.UE.1010012.208"),"(kliknij lub Ctrl+kliknij)")</f>
        <v>(kliknij lub Ctrl+kliknij)</v>
      </c>
      <c r="H2403" s="0" t="s">
        <v>757</v>
      </c>
    </row>
    <row r="2404" customFormat="false" ht="12.8" hidden="false" customHeight="false" outlineLevel="0" collapsed="false">
      <c r="A2404" s="1" t="s">
        <v>1192</v>
      </c>
      <c r="C2404" s="3" t="s">
        <v>574</v>
      </c>
      <c r="D2404" s="4" t="s">
        <v>1391</v>
      </c>
      <c r="F2404" s="6" t="s">
        <v>1198</v>
      </c>
      <c r="G2404" s="7" t="str">
        <f aca="false">HYPERLINK(CONCATENATE("http://crfop.gdos.gov.pl/CRFOP/widok/viewuzytekekologiczny.jsf?fop=","PL.ZIPOP.1393.UE.1010012.209"),"(kliknij lub Ctrl+kliknij)")</f>
        <v>(kliknij lub Ctrl+kliknij)</v>
      </c>
      <c r="H2404" s="0" t="s">
        <v>757</v>
      </c>
    </row>
    <row r="2405" customFormat="false" ht="12.8" hidden="false" customHeight="false" outlineLevel="0" collapsed="false">
      <c r="A2405" s="1" t="s">
        <v>1192</v>
      </c>
      <c r="C2405" s="3" t="s">
        <v>574</v>
      </c>
      <c r="D2405" s="4" t="s">
        <v>1256</v>
      </c>
      <c r="F2405" s="6" t="s">
        <v>1198</v>
      </c>
      <c r="G2405" s="7" t="str">
        <f aca="false">HYPERLINK(CONCATENATE("http://crfop.gdos.gov.pl/CRFOP/widok/viewuzytekekologiczny.jsf?fop=","PL.ZIPOP.1393.UE.1010012.210"),"(kliknij lub Ctrl+kliknij)")</f>
        <v>(kliknij lub Ctrl+kliknij)</v>
      </c>
      <c r="H2405" s="0" t="s">
        <v>757</v>
      </c>
    </row>
    <row r="2406" customFormat="false" ht="12.8" hidden="false" customHeight="false" outlineLevel="0" collapsed="false">
      <c r="A2406" s="1" t="s">
        <v>1192</v>
      </c>
      <c r="C2406" s="3" t="s">
        <v>574</v>
      </c>
      <c r="D2406" s="4" t="s">
        <v>1392</v>
      </c>
      <c r="F2406" s="6" t="s">
        <v>1198</v>
      </c>
      <c r="G2406" s="7" t="str">
        <f aca="false">HYPERLINK(CONCATENATE("http://crfop.gdos.gov.pl/CRFOP/widok/viewuzytekekologiczny.jsf?fop=","PL.ZIPOP.1393.UE.1010012.211"),"(kliknij lub Ctrl+kliknij)")</f>
        <v>(kliknij lub Ctrl+kliknij)</v>
      </c>
      <c r="H2406" s="0" t="s">
        <v>757</v>
      </c>
    </row>
    <row r="2407" customFormat="false" ht="12.8" hidden="false" customHeight="false" outlineLevel="0" collapsed="false">
      <c r="A2407" s="1" t="s">
        <v>1192</v>
      </c>
      <c r="B2407" s="2" t="s">
        <v>1393</v>
      </c>
      <c r="C2407" s="3" t="s">
        <v>1394</v>
      </c>
      <c r="D2407" s="4" t="s">
        <v>1337</v>
      </c>
      <c r="F2407" s="6" t="s">
        <v>1395</v>
      </c>
      <c r="G2407" s="7" t="str">
        <f aca="false">HYPERLINK(CONCATENATE("http://crfop.gdos.gov.pl/CRFOP/widok/viewuzytekekologiczny.jsf?fop=","PL.ZIPOP.1393.UE.1010012.212"),"(kliknij lub Ctrl+kliknij)")</f>
        <v>(kliknij lub Ctrl+kliknij)</v>
      </c>
      <c r="H2407" s="0" t="s">
        <v>757</v>
      </c>
    </row>
    <row r="2408" customFormat="false" ht="12.8" hidden="false" customHeight="false" outlineLevel="0" collapsed="false">
      <c r="A2408" s="1" t="s">
        <v>1192</v>
      </c>
      <c r="B2408" s="2" t="s">
        <v>1396</v>
      </c>
      <c r="C2408" s="3" t="s">
        <v>1394</v>
      </c>
      <c r="D2408" s="4" t="s">
        <v>1215</v>
      </c>
      <c r="F2408" s="6" t="s">
        <v>1395</v>
      </c>
      <c r="G2408" s="7" t="str">
        <f aca="false">HYPERLINK(CONCATENATE("http://crfop.gdos.gov.pl/CRFOP/widok/viewuzytekekologiczny.jsf?fop=","PL.ZIPOP.1393.UE.1010012.213"),"(kliknij lub Ctrl+kliknij)")</f>
        <v>(kliknij lub Ctrl+kliknij)</v>
      </c>
      <c r="H2408" s="0" t="s">
        <v>757</v>
      </c>
    </row>
    <row r="2409" customFormat="false" ht="12.8" hidden="false" customHeight="false" outlineLevel="0" collapsed="false">
      <c r="A2409" s="1" t="s">
        <v>1192</v>
      </c>
      <c r="B2409" s="2" t="s">
        <v>1397</v>
      </c>
      <c r="C2409" s="3" t="s">
        <v>1394</v>
      </c>
      <c r="D2409" s="4" t="s">
        <v>1398</v>
      </c>
      <c r="F2409" s="6" t="s">
        <v>1395</v>
      </c>
      <c r="G2409" s="7" t="str">
        <f aca="false">HYPERLINK(CONCATENATE("http://crfop.gdos.gov.pl/CRFOP/widok/viewuzytekekologiczny.jsf?fop=","PL.ZIPOP.1393.UE.1010012.214"),"(kliknij lub Ctrl+kliknij)")</f>
        <v>(kliknij lub Ctrl+kliknij)</v>
      </c>
      <c r="H2409" s="0" t="s">
        <v>757</v>
      </c>
    </row>
    <row r="2410" customFormat="false" ht="12.8" hidden="false" customHeight="false" outlineLevel="0" collapsed="false">
      <c r="A2410" s="1" t="s">
        <v>1192</v>
      </c>
      <c r="C2410" s="3" t="s">
        <v>591</v>
      </c>
      <c r="D2410" s="4" t="s">
        <v>1399</v>
      </c>
      <c r="F2410" s="6" t="s">
        <v>1315</v>
      </c>
      <c r="G2410" s="7" t="str">
        <f aca="false">HYPERLINK(CONCATENATE("http://crfop.gdos.gov.pl/CRFOP/widok/viewuzytekekologiczny.jsf?fop=","PL.ZIPOP.1393.UE.1010032.215"),"(kliknij lub Ctrl+kliknij)")</f>
        <v>(kliknij lub Ctrl+kliknij)</v>
      </c>
      <c r="H2410" s="0" t="s">
        <v>759</v>
      </c>
    </row>
    <row r="2411" customFormat="false" ht="12.8" hidden="false" customHeight="false" outlineLevel="0" collapsed="false">
      <c r="A2411" s="1" t="s">
        <v>1192</v>
      </c>
      <c r="C2411" s="3" t="s">
        <v>574</v>
      </c>
      <c r="D2411" s="4" t="s">
        <v>1360</v>
      </c>
      <c r="F2411" s="6" t="s">
        <v>1198</v>
      </c>
      <c r="G2411" s="7" t="str">
        <f aca="false">HYPERLINK(CONCATENATE("http://crfop.gdos.gov.pl/CRFOP/widok/viewuzytekekologiczny.jsf?fop=","PL.ZIPOP.1393.UE.1010032.216"),"(kliknij lub Ctrl+kliknij)")</f>
        <v>(kliknij lub Ctrl+kliknij)</v>
      </c>
      <c r="H2411" s="0" t="s">
        <v>759</v>
      </c>
    </row>
    <row r="2412" customFormat="false" ht="12.8" hidden="false" customHeight="false" outlineLevel="0" collapsed="false">
      <c r="A2412" s="1" t="s">
        <v>1192</v>
      </c>
      <c r="C2412" s="3" t="s">
        <v>591</v>
      </c>
      <c r="D2412" s="4" t="s">
        <v>1249</v>
      </c>
      <c r="F2412" s="6" t="s">
        <v>1315</v>
      </c>
      <c r="G2412" s="7" t="str">
        <f aca="false">HYPERLINK(CONCATENATE("http://crfop.gdos.gov.pl/CRFOP/widok/viewuzytekekologiczny.jsf?fop=","PL.ZIPOP.1393.UE.1010032.217"),"(kliknij lub Ctrl+kliknij)")</f>
        <v>(kliknij lub Ctrl+kliknij)</v>
      </c>
      <c r="H2412" s="0" t="s">
        <v>759</v>
      </c>
    </row>
    <row r="2413" customFormat="false" ht="12.8" hidden="false" customHeight="false" outlineLevel="0" collapsed="false">
      <c r="A2413" s="1" t="s">
        <v>1192</v>
      </c>
      <c r="C2413" s="3" t="s">
        <v>591</v>
      </c>
      <c r="D2413" s="4" t="s">
        <v>1400</v>
      </c>
      <c r="F2413" s="6" t="s">
        <v>1315</v>
      </c>
      <c r="G2413" s="7" t="str">
        <f aca="false">HYPERLINK(CONCATENATE("http://crfop.gdos.gov.pl/CRFOP/widok/viewuzytekekologiczny.jsf?fop=","PL.ZIPOP.1393.UE.1010032.218"),"(kliknij lub Ctrl+kliknij)")</f>
        <v>(kliknij lub Ctrl+kliknij)</v>
      </c>
      <c r="H2413" s="0" t="s">
        <v>759</v>
      </c>
    </row>
    <row r="2414" customFormat="false" ht="12.8" hidden="false" customHeight="false" outlineLevel="0" collapsed="false">
      <c r="A2414" s="1" t="s">
        <v>1192</v>
      </c>
      <c r="C2414" s="3" t="s">
        <v>574</v>
      </c>
      <c r="D2414" s="4" t="s">
        <v>1339</v>
      </c>
      <c r="F2414" s="6" t="s">
        <v>1198</v>
      </c>
      <c r="G2414" s="7" t="str">
        <f aca="false">HYPERLINK(CONCATENATE("http://crfop.gdos.gov.pl/CRFOP/widok/viewuzytekekologiczny.jsf?fop=","PL.ZIPOP.1393.UE.1010032.219"),"(kliknij lub Ctrl+kliknij)")</f>
        <v>(kliknij lub Ctrl+kliknij)</v>
      </c>
      <c r="H2414" s="0" t="s">
        <v>759</v>
      </c>
    </row>
    <row r="2415" customFormat="false" ht="12.8" hidden="false" customHeight="false" outlineLevel="0" collapsed="false">
      <c r="A2415" s="1" t="s">
        <v>1192</v>
      </c>
      <c r="C2415" s="3" t="s">
        <v>574</v>
      </c>
      <c r="D2415" s="4" t="s">
        <v>1209</v>
      </c>
      <c r="F2415" s="6" t="s">
        <v>1198</v>
      </c>
      <c r="G2415" s="7" t="str">
        <f aca="false">HYPERLINK(CONCATENATE("http://crfop.gdos.gov.pl/CRFOP/widok/viewuzytekekologiczny.jsf?fop=","PL.ZIPOP.1393.UE.1010032.220"),"(kliknij lub Ctrl+kliknij)")</f>
        <v>(kliknij lub Ctrl+kliknij)</v>
      </c>
      <c r="H2415" s="0" t="s">
        <v>759</v>
      </c>
    </row>
    <row r="2416" customFormat="false" ht="12.8" hidden="false" customHeight="false" outlineLevel="0" collapsed="false">
      <c r="A2416" s="1" t="s">
        <v>1192</v>
      </c>
      <c r="C2416" s="3" t="s">
        <v>574</v>
      </c>
      <c r="D2416" s="4" t="s">
        <v>1401</v>
      </c>
      <c r="F2416" s="6" t="s">
        <v>1198</v>
      </c>
      <c r="G2416" s="7" t="str">
        <f aca="false">HYPERLINK(CONCATENATE("http://crfop.gdos.gov.pl/CRFOP/widok/viewuzytekekologiczny.jsf?fop=","PL.ZIPOP.1393.UE.1010032.221"),"(kliknij lub Ctrl+kliknij)")</f>
        <v>(kliknij lub Ctrl+kliknij)</v>
      </c>
      <c r="H2416" s="0" t="s">
        <v>759</v>
      </c>
    </row>
    <row r="2417" customFormat="false" ht="12.8" hidden="false" customHeight="false" outlineLevel="0" collapsed="false">
      <c r="A2417" s="1" t="s">
        <v>1192</v>
      </c>
      <c r="C2417" s="3" t="s">
        <v>574</v>
      </c>
      <c r="D2417" s="4" t="s">
        <v>1402</v>
      </c>
      <c r="F2417" s="6" t="s">
        <v>1198</v>
      </c>
      <c r="G2417" s="7" t="str">
        <f aca="false">HYPERLINK(CONCATENATE("http://crfop.gdos.gov.pl/CRFOP/widok/viewuzytekekologiczny.jsf?fop=","PL.ZIPOP.1393.UE.1010032.222"),"(kliknij lub Ctrl+kliknij)")</f>
        <v>(kliknij lub Ctrl+kliknij)</v>
      </c>
      <c r="H2417" s="0" t="s">
        <v>759</v>
      </c>
    </row>
    <row r="2418" customFormat="false" ht="12.8" hidden="false" customHeight="false" outlineLevel="0" collapsed="false">
      <c r="A2418" s="1" t="s">
        <v>1192</v>
      </c>
      <c r="C2418" s="3" t="s">
        <v>1193</v>
      </c>
      <c r="D2418" s="4" t="s">
        <v>1227</v>
      </c>
      <c r="F2418" s="6" t="s">
        <v>1195</v>
      </c>
      <c r="G2418" s="7" t="str">
        <f aca="false">HYPERLINK(CONCATENATE("http://crfop.gdos.gov.pl/CRFOP/widok/viewuzytekekologiczny.jsf?fop=","PL.ZIPOP.1393.UE.1010032.223"),"(kliknij lub Ctrl+kliknij)")</f>
        <v>(kliknij lub Ctrl+kliknij)</v>
      </c>
      <c r="H2418" s="0" t="s">
        <v>759</v>
      </c>
    </row>
    <row r="2419" customFormat="false" ht="12.8" hidden="false" customHeight="false" outlineLevel="0" collapsed="false">
      <c r="A2419" s="1" t="s">
        <v>1192</v>
      </c>
      <c r="C2419" s="3" t="s">
        <v>574</v>
      </c>
      <c r="D2419" s="4" t="s">
        <v>1253</v>
      </c>
      <c r="F2419" s="6" t="s">
        <v>1198</v>
      </c>
      <c r="G2419" s="7" t="str">
        <f aca="false">HYPERLINK(CONCATENATE("http://crfop.gdos.gov.pl/CRFOP/widok/viewuzytekekologiczny.jsf?fop=","PL.ZIPOP.1393.UE.1010032.224"),"(kliknij lub Ctrl+kliknij)")</f>
        <v>(kliknij lub Ctrl+kliknij)</v>
      </c>
      <c r="H2419" s="0" t="s">
        <v>759</v>
      </c>
    </row>
    <row r="2420" customFormat="false" ht="12.8" hidden="false" customHeight="false" outlineLevel="0" collapsed="false">
      <c r="A2420" s="1" t="s">
        <v>1192</v>
      </c>
      <c r="C2420" s="3" t="s">
        <v>574</v>
      </c>
      <c r="D2420" s="4" t="s">
        <v>1403</v>
      </c>
      <c r="F2420" s="6" t="s">
        <v>1198</v>
      </c>
      <c r="G2420" s="7" t="str">
        <f aca="false">HYPERLINK(CONCATENATE("http://crfop.gdos.gov.pl/CRFOP/widok/viewuzytekekologiczny.jsf?fop=","PL.ZIPOP.1393.UE.1010032.225"),"(kliknij lub Ctrl+kliknij)")</f>
        <v>(kliknij lub Ctrl+kliknij)</v>
      </c>
      <c r="H2420" s="0" t="s">
        <v>759</v>
      </c>
    </row>
    <row r="2421" customFormat="false" ht="12.8" hidden="false" customHeight="false" outlineLevel="0" collapsed="false">
      <c r="A2421" s="1" t="s">
        <v>1192</v>
      </c>
      <c r="C2421" s="3" t="s">
        <v>574</v>
      </c>
      <c r="D2421" s="4" t="s">
        <v>1404</v>
      </c>
      <c r="F2421" s="6" t="s">
        <v>1198</v>
      </c>
      <c r="G2421" s="7" t="str">
        <f aca="false">HYPERLINK(CONCATENATE("http://crfop.gdos.gov.pl/CRFOP/widok/viewuzytekekologiczny.jsf?fop=","PL.ZIPOP.1393.UE.1010032.226"),"(kliknij lub Ctrl+kliknij)")</f>
        <v>(kliknij lub Ctrl+kliknij)</v>
      </c>
      <c r="H2421" s="0" t="s">
        <v>759</v>
      </c>
    </row>
    <row r="2422" customFormat="false" ht="12.8" hidden="false" customHeight="false" outlineLevel="0" collapsed="false">
      <c r="A2422" s="1" t="s">
        <v>1192</v>
      </c>
      <c r="C2422" s="3" t="s">
        <v>574</v>
      </c>
      <c r="D2422" s="4" t="s">
        <v>1405</v>
      </c>
      <c r="F2422" s="6" t="s">
        <v>1198</v>
      </c>
      <c r="G2422" s="7" t="str">
        <f aca="false">HYPERLINK(CONCATENATE("http://crfop.gdos.gov.pl/CRFOP/widok/viewuzytekekologiczny.jsf?fop=","PL.ZIPOP.1393.UE.1010032.227"),"(kliknij lub Ctrl+kliknij)")</f>
        <v>(kliknij lub Ctrl+kliknij)</v>
      </c>
      <c r="H2422" s="0" t="s">
        <v>759</v>
      </c>
    </row>
    <row r="2423" customFormat="false" ht="12.8" hidden="false" customHeight="false" outlineLevel="0" collapsed="false">
      <c r="A2423" s="1" t="s">
        <v>1192</v>
      </c>
      <c r="C2423" s="3" t="s">
        <v>574</v>
      </c>
      <c r="D2423" s="4" t="s">
        <v>1406</v>
      </c>
      <c r="F2423" s="6" t="s">
        <v>1198</v>
      </c>
      <c r="G2423" s="7" t="str">
        <f aca="false">HYPERLINK(CONCATENATE("http://crfop.gdos.gov.pl/CRFOP/widok/viewuzytekekologiczny.jsf?fop=","PL.ZIPOP.1393.UE.1010032.228"),"(kliknij lub Ctrl+kliknij)")</f>
        <v>(kliknij lub Ctrl+kliknij)</v>
      </c>
      <c r="H2423" s="0" t="s">
        <v>759</v>
      </c>
    </row>
    <row r="2424" customFormat="false" ht="12.8" hidden="false" customHeight="false" outlineLevel="0" collapsed="false">
      <c r="A2424" s="1" t="s">
        <v>1192</v>
      </c>
      <c r="C2424" s="3" t="s">
        <v>591</v>
      </c>
      <c r="D2424" s="4" t="s">
        <v>1223</v>
      </c>
      <c r="F2424" s="6" t="s">
        <v>1315</v>
      </c>
      <c r="G2424" s="7" t="str">
        <f aca="false">HYPERLINK(CONCATENATE("http://crfop.gdos.gov.pl/CRFOP/widok/viewuzytekekologiczny.jsf?fop=","PL.ZIPOP.1393.UE.1010032.886"),"(kliknij lub Ctrl+kliknij)")</f>
        <v>(kliknij lub Ctrl+kliknij)</v>
      </c>
      <c r="H2424" s="0" t="s">
        <v>759</v>
      </c>
    </row>
    <row r="2425" customFormat="false" ht="12.8" hidden="false" customHeight="false" outlineLevel="0" collapsed="false">
      <c r="A2425" s="1" t="s">
        <v>1192</v>
      </c>
      <c r="C2425" s="3" t="s">
        <v>591</v>
      </c>
      <c r="D2425" s="4" t="s">
        <v>1407</v>
      </c>
      <c r="F2425" s="6" t="s">
        <v>1315</v>
      </c>
      <c r="G2425" s="7" t="str">
        <f aca="false">HYPERLINK(CONCATENATE("http://crfop.gdos.gov.pl/CRFOP/widok/viewuzytekekologiczny.jsf?fop=","PL.ZIPOP.1393.UE.1010032.887"),"(kliknij lub Ctrl+kliknij)")</f>
        <v>(kliknij lub Ctrl+kliknij)</v>
      </c>
      <c r="H2425" s="0" t="s">
        <v>759</v>
      </c>
    </row>
    <row r="2426" customFormat="false" ht="12.8" hidden="false" customHeight="false" outlineLevel="0" collapsed="false">
      <c r="A2426" s="1" t="s">
        <v>1192</v>
      </c>
      <c r="C2426" s="3" t="s">
        <v>591</v>
      </c>
      <c r="D2426" s="4" t="s">
        <v>1252</v>
      </c>
      <c r="F2426" s="6" t="s">
        <v>1315</v>
      </c>
      <c r="G2426" s="7" t="str">
        <f aca="false">HYPERLINK(CONCATENATE("http://crfop.gdos.gov.pl/CRFOP/widok/viewuzytekekologiczny.jsf?fop=","PL.ZIPOP.1393.UE.1010032.888"),"(kliknij lub Ctrl+kliknij)")</f>
        <v>(kliknij lub Ctrl+kliknij)</v>
      </c>
      <c r="H2426" s="0" t="s">
        <v>759</v>
      </c>
    </row>
    <row r="2427" customFormat="false" ht="12.8" hidden="false" customHeight="false" outlineLevel="0" collapsed="false">
      <c r="A2427" s="1" t="s">
        <v>1192</v>
      </c>
      <c r="C2427" s="3" t="s">
        <v>591</v>
      </c>
      <c r="D2427" s="4" t="s">
        <v>1205</v>
      </c>
      <c r="F2427" s="6" t="s">
        <v>1315</v>
      </c>
      <c r="G2427" s="7" t="str">
        <f aca="false">HYPERLINK(CONCATENATE("http://crfop.gdos.gov.pl/CRFOP/widok/viewuzytekekologiczny.jsf?fop=","PL.ZIPOP.1393.UE.1010032.889"),"(kliknij lub Ctrl+kliknij)")</f>
        <v>(kliknij lub Ctrl+kliknij)</v>
      </c>
      <c r="H2427" s="0" t="s">
        <v>759</v>
      </c>
    </row>
    <row r="2428" customFormat="false" ht="12.8" hidden="false" customHeight="false" outlineLevel="0" collapsed="false">
      <c r="A2428" s="1" t="s">
        <v>1192</v>
      </c>
      <c r="C2428" s="3" t="s">
        <v>574</v>
      </c>
      <c r="D2428" s="4" t="s">
        <v>1253</v>
      </c>
      <c r="F2428" s="6" t="s">
        <v>1198</v>
      </c>
      <c r="G2428" s="7" t="str">
        <f aca="false">HYPERLINK(CONCATENATE("http://crfop.gdos.gov.pl/CRFOP/widok/viewuzytekekologiczny.jsf?fop=","PL.ZIPOP.1393.UE.1010052.229"),"(kliknij lub Ctrl+kliknij)")</f>
        <v>(kliknij lub Ctrl+kliknij)</v>
      </c>
      <c r="H2428" s="0" t="s">
        <v>760</v>
      </c>
    </row>
    <row r="2429" customFormat="false" ht="12.8" hidden="false" customHeight="false" outlineLevel="0" collapsed="false">
      <c r="A2429" s="1" t="s">
        <v>1192</v>
      </c>
      <c r="C2429" s="3" t="s">
        <v>574</v>
      </c>
      <c r="D2429" s="4" t="s">
        <v>1218</v>
      </c>
      <c r="F2429" s="6" t="s">
        <v>1198</v>
      </c>
      <c r="G2429" s="7" t="str">
        <f aca="false">HYPERLINK(CONCATENATE("http://crfop.gdos.gov.pl/CRFOP/widok/viewuzytekekologiczny.jsf?fop=","PL.ZIPOP.1393.UE.1010052.230"),"(kliknij lub Ctrl+kliknij)")</f>
        <v>(kliknij lub Ctrl+kliknij)</v>
      </c>
      <c r="H2429" s="0" t="s">
        <v>760</v>
      </c>
    </row>
    <row r="2430" customFormat="false" ht="12.8" hidden="false" customHeight="false" outlineLevel="0" collapsed="false">
      <c r="A2430" s="1" t="s">
        <v>1192</v>
      </c>
      <c r="C2430" s="3" t="s">
        <v>574</v>
      </c>
      <c r="D2430" s="4" t="s">
        <v>1207</v>
      </c>
      <c r="F2430" s="6" t="s">
        <v>1198</v>
      </c>
      <c r="G2430" s="7" t="str">
        <f aca="false">HYPERLINK(CONCATENATE("http://crfop.gdos.gov.pl/CRFOP/widok/viewuzytekekologiczny.jsf?fop=","PL.ZIPOP.1393.UE.1010052.231"),"(kliknij lub Ctrl+kliknij)")</f>
        <v>(kliknij lub Ctrl+kliknij)</v>
      </c>
      <c r="H2430" s="0" t="s">
        <v>760</v>
      </c>
    </row>
    <row r="2431" customFormat="false" ht="12.8" hidden="false" customHeight="false" outlineLevel="0" collapsed="false">
      <c r="A2431" s="1" t="s">
        <v>1192</v>
      </c>
      <c r="C2431" s="3" t="s">
        <v>574</v>
      </c>
      <c r="D2431" s="4" t="s">
        <v>1272</v>
      </c>
      <c r="F2431" s="6" t="s">
        <v>1198</v>
      </c>
      <c r="G2431" s="7" t="str">
        <f aca="false">HYPERLINK(CONCATENATE("http://crfop.gdos.gov.pl/CRFOP/widok/viewuzytekekologiczny.jsf?fop=","PL.ZIPOP.1393.UE.1010052.232"),"(kliknij lub Ctrl+kliknij)")</f>
        <v>(kliknij lub Ctrl+kliknij)</v>
      </c>
      <c r="H2431" s="0" t="s">
        <v>760</v>
      </c>
    </row>
    <row r="2432" customFormat="false" ht="12.8" hidden="false" customHeight="false" outlineLevel="0" collapsed="false">
      <c r="A2432" s="1" t="s">
        <v>1192</v>
      </c>
      <c r="C2432" s="3" t="s">
        <v>574</v>
      </c>
      <c r="D2432" s="4" t="s">
        <v>1356</v>
      </c>
      <c r="F2432" s="6" t="s">
        <v>1198</v>
      </c>
      <c r="G2432" s="7" t="str">
        <f aca="false">HYPERLINK(CONCATENATE("http://crfop.gdos.gov.pl/CRFOP/widok/viewuzytekekologiczny.jsf?fop=","PL.ZIPOP.1393.UE.1010052.233"),"(kliknij lub Ctrl+kliknij)")</f>
        <v>(kliknij lub Ctrl+kliknij)</v>
      </c>
      <c r="H2432" s="0" t="s">
        <v>760</v>
      </c>
    </row>
    <row r="2433" customFormat="false" ht="12.8" hidden="false" customHeight="false" outlineLevel="0" collapsed="false">
      <c r="A2433" s="1" t="s">
        <v>1192</v>
      </c>
      <c r="C2433" s="3" t="s">
        <v>574</v>
      </c>
      <c r="D2433" s="4" t="s">
        <v>1408</v>
      </c>
      <c r="F2433" s="6" t="s">
        <v>1198</v>
      </c>
      <c r="G2433" s="7" t="str">
        <f aca="false">HYPERLINK(CONCATENATE("http://crfop.gdos.gov.pl/CRFOP/widok/viewuzytekekologiczny.jsf?fop=","PL.ZIPOP.1393.UE.1010052.234"),"(kliknij lub Ctrl+kliknij)")</f>
        <v>(kliknij lub Ctrl+kliknij)</v>
      </c>
      <c r="H2433" s="0" t="s">
        <v>760</v>
      </c>
    </row>
    <row r="2434" customFormat="false" ht="12.8" hidden="false" customHeight="false" outlineLevel="0" collapsed="false">
      <c r="A2434" s="1" t="s">
        <v>1192</v>
      </c>
      <c r="C2434" s="3" t="s">
        <v>574</v>
      </c>
      <c r="D2434" s="4" t="s">
        <v>1409</v>
      </c>
      <c r="F2434" s="6" t="s">
        <v>1198</v>
      </c>
      <c r="G2434" s="7" t="str">
        <f aca="false">HYPERLINK(CONCATENATE("http://crfop.gdos.gov.pl/CRFOP/widok/viewuzytekekologiczny.jsf?fop=","PL.ZIPOP.1393.UE.1010052.235"),"(kliknij lub Ctrl+kliknij)")</f>
        <v>(kliknij lub Ctrl+kliknij)</v>
      </c>
      <c r="H2434" s="0" t="s">
        <v>760</v>
      </c>
    </row>
    <row r="2435" customFormat="false" ht="12.8" hidden="false" customHeight="false" outlineLevel="0" collapsed="false">
      <c r="A2435" s="1" t="s">
        <v>1192</v>
      </c>
      <c r="C2435" s="3" t="s">
        <v>574</v>
      </c>
      <c r="D2435" s="4" t="s">
        <v>1354</v>
      </c>
      <c r="F2435" s="6" t="s">
        <v>1198</v>
      </c>
      <c r="G2435" s="7" t="str">
        <f aca="false">HYPERLINK(CONCATENATE("http://crfop.gdos.gov.pl/CRFOP/widok/viewuzytekekologiczny.jsf?fop=","PL.ZIPOP.1393.UE.1010052.236"),"(kliknij lub Ctrl+kliknij)")</f>
        <v>(kliknij lub Ctrl+kliknij)</v>
      </c>
      <c r="H2435" s="0" t="s">
        <v>760</v>
      </c>
    </row>
    <row r="2436" customFormat="false" ht="12.8" hidden="false" customHeight="false" outlineLevel="0" collapsed="false">
      <c r="A2436" s="1" t="s">
        <v>1192</v>
      </c>
      <c r="C2436" s="3" t="s">
        <v>591</v>
      </c>
      <c r="D2436" s="4" t="s">
        <v>1410</v>
      </c>
      <c r="F2436" s="6" t="s">
        <v>1315</v>
      </c>
      <c r="G2436" s="7" t="str">
        <f aca="false">HYPERLINK(CONCATENATE("http://crfop.gdos.gov.pl/CRFOP/widok/viewuzytekekologiczny.jsf?fop=","PL.ZIPOP.1393.UE.1010052.237"),"(kliknij lub Ctrl+kliknij)")</f>
        <v>(kliknij lub Ctrl+kliknij)</v>
      </c>
      <c r="H2436" s="0" t="s">
        <v>760</v>
      </c>
    </row>
    <row r="2437" customFormat="false" ht="12.8" hidden="false" customHeight="false" outlineLevel="0" collapsed="false">
      <c r="A2437" s="1" t="s">
        <v>1192</v>
      </c>
      <c r="C2437" s="3" t="s">
        <v>591</v>
      </c>
      <c r="D2437" s="4" t="s">
        <v>1337</v>
      </c>
      <c r="F2437" s="6" t="s">
        <v>1315</v>
      </c>
      <c r="G2437" s="7" t="str">
        <f aca="false">HYPERLINK(CONCATENATE("http://crfop.gdos.gov.pl/CRFOP/widok/viewuzytekekologiczny.jsf?fop=","PL.ZIPOP.1393.UE.1010052.238"),"(kliknij lub Ctrl+kliknij)")</f>
        <v>(kliknij lub Ctrl+kliknij)</v>
      </c>
      <c r="H2437" s="0" t="s">
        <v>760</v>
      </c>
    </row>
    <row r="2438" customFormat="false" ht="12.8" hidden="false" customHeight="false" outlineLevel="0" collapsed="false">
      <c r="A2438" s="1" t="s">
        <v>1192</v>
      </c>
      <c r="C2438" s="3" t="s">
        <v>591</v>
      </c>
      <c r="D2438" s="4" t="s">
        <v>1356</v>
      </c>
      <c r="F2438" s="6" t="s">
        <v>1195</v>
      </c>
      <c r="G2438" s="7" t="str">
        <f aca="false">HYPERLINK(CONCATENATE("http://crfop.gdos.gov.pl/CRFOP/widok/viewuzytekekologiczny.jsf?fop=","PL.ZIPOP.1393.UE.1010052.239"),"(kliknij lub Ctrl+kliknij)")</f>
        <v>(kliknij lub Ctrl+kliknij)</v>
      </c>
      <c r="H2438" s="0" t="s">
        <v>760</v>
      </c>
    </row>
    <row r="2439" customFormat="false" ht="12.8" hidden="false" customHeight="false" outlineLevel="0" collapsed="false">
      <c r="A2439" s="1" t="s">
        <v>1192</v>
      </c>
      <c r="C2439" s="3" t="s">
        <v>591</v>
      </c>
      <c r="D2439" s="4" t="s">
        <v>1410</v>
      </c>
      <c r="F2439" s="6" t="s">
        <v>1315</v>
      </c>
      <c r="G2439" s="7" t="str">
        <f aca="false">HYPERLINK(CONCATENATE("http://crfop.gdos.gov.pl/CRFOP/widok/viewuzytekekologiczny.jsf?fop=","PL.ZIPOP.1393.UE.1010052.240"),"(kliknij lub Ctrl+kliknij)")</f>
        <v>(kliknij lub Ctrl+kliknij)</v>
      </c>
      <c r="H2439" s="0" t="s">
        <v>760</v>
      </c>
    </row>
    <row r="2440" customFormat="false" ht="12.8" hidden="false" customHeight="false" outlineLevel="0" collapsed="false">
      <c r="A2440" s="1" t="s">
        <v>1192</v>
      </c>
      <c r="C2440" s="3" t="s">
        <v>591</v>
      </c>
      <c r="D2440" s="4" t="s">
        <v>1330</v>
      </c>
      <c r="F2440" s="6" t="s">
        <v>1315</v>
      </c>
      <c r="G2440" s="7" t="str">
        <f aca="false">HYPERLINK(CONCATENATE("http://crfop.gdos.gov.pl/CRFOP/widok/viewuzytekekologiczny.jsf?fop=","PL.ZIPOP.1393.UE.1010052.241"),"(kliknij lub Ctrl+kliknij)")</f>
        <v>(kliknij lub Ctrl+kliknij)</v>
      </c>
      <c r="H2440" s="0" t="s">
        <v>760</v>
      </c>
    </row>
    <row r="2441" customFormat="false" ht="12.8" hidden="false" customHeight="false" outlineLevel="0" collapsed="false">
      <c r="A2441" s="1" t="s">
        <v>1192</v>
      </c>
      <c r="C2441" s="3" t="s">
        <v>591</v>
      </c>
      <c r="D2441" s="4" t="s">
        <v>1337</v>
      </c>
      <c r="F2441" s="6" t="s">
        <v>1315</v>
      </c>
      <c r="G2441" s="7" t="str">
        <f aca="false">HYPERLINK(CONCATENATE("http://crfop.gdos.gov.pl/CRFOP/widok/viewuzytekekologiczny.jsf?fop=","PL.ZIPOP.1393.UE.1010052.242"),"(kliknij lub Ctrl+kliknij)")</f>
        <v>(kliknij lub Ctrl+kliknij)</v>
      </c>
      <c r="H2441" s="0" t="s">
        <v>760</v>
      </c>
    </row>
    <row r="2442" customFormat="false" ht="12.8" hidden="false" customHeight="false" outlineLevel="0" collapsed="false">
      <c r="A2442" s="1" t="s">
        <v>1192</v>
      </c>
      <c r="C2442" s="3" t="s">
        <v>591</v>
      </c>
      <c r="D2442" s="4" t="s">
        <v>1215</v>
      </c>
      <c r="F2442" s="6" t="s">
        <v>1315</v>
      </c>
      <c r="G2442" s="7" t="str">
        <f aca="false">HYPERLINK(CONCATENATE("http://crfop.gdos.gov.pl/CRFOP/widok/viewuzytekekologiczny.jsf?fop=","PL.ZIPOP.1393.UE.1010052.243"),"(kliknij lub Ctrl+kliknij)")</f>
        <v>(kliknij lub Ctrl+kliknij)</v>
      </c>
      <c r="H2442" s="0" t="s">
        <v>760</v>
      </c>
    </row>
    <row r="2443" customFormat="false" ht="12.8" hidden="false" customHeight="false" outlineLevel="0" collapsed="false">
      <c r="A2443" s="1" t="s">
        <v>1192</v>
      </c>
      <c r="C2443" s="3" t="s">
        <v>591</v>
      </c>
      <c r="D2443" s="4" t="s">
        <v>1277</v>
      </c>
      <c r="F2443" s="6" t="s">
        <v>1315</v>
      </c>
      <c r="G2443" s="7" t="str">
        <f aca="false">HYPERLINK(CONCATENATE("http://crfop.gdos.gov.pl/CRFOP/widok/viewuzytekekologiczny.jsf?fop=","PL.ZIPOP.1393.UE.1010052.244"),"(kliknij lub Ctrl+kliknij)")</f>
        <v>(kliknij lub Ctrl+kliknij)</v>
      </c>
      <c r="H2443" s="0" t="s">
        <v>760</v>
      </c>
    </row>
    <row r="2444" customFormat="false" ht="12.8" hidden="false" customHeight="false" outlineLevel="0" collapsed="false">
      <c r="A2444" s="1" t="s">
        <v>1192</v>
      </c>
      <c r="C2444" s="3" t="s">
        <v>591</v>
      </c>
      <c r="D2444" s="4" t="s">
        <v>1236</v>
      </c>
      <c r="F2444" s="6" t="s">
        <v>1315</v>
      </c>
      <c r="G2444" s="7" t="str">
        <f aca="false">HYPERLINK(CONCATENATE("http://crfop.gdos.gov.pl/CRFOP/widok/viewuzytekekologiczny.jsf?fop=","PL.ZIPOP.1393.UE.1010052.245"),"(kliknij lub Ctrl+kliknij)")</f>
        <v>(kliknij lub Ctrl+kliknij)</v>
      </c>
      <c r="H2444" s="0" t="s">
        <v>760</v>
      </c>
    </row>
    <row r="2445" customFormat="false" ht="12.8" hidden="false" customHeight="false" outlineLevel="0" collapsed="false">
      <c r="A2445" s="1" t="s">
        <v>1192</v>
      </c>
      <c r="C2445" s="3" t="s">
        <v>591</v>
      </c>
      <c r="D2445" s="4" t="s">
        <v>1411</v>
      </c>
      <c r="F2445" s="6" t="s">
        <v>1315</v>
      </c>
      <c r="G2445" s="7" t="str">
        <f aca="false">HYPERLINK(CONCATENATE("http://crfop.gdos.gov.pl/CRFOP/widok/viewuzytekekologiczny.jsf?fop=","PL.ZIPOP.1393.UE.1010052.249"),"(kliknij lub Ctrl+kliknij)")</f>
        <v>(kliknij lub Ctrl+kliknij)</v>
      </c>
      <c r="H2445" s="0" t="s">
        <v>760</v>
      </c>
    </row>
    <row r="2446" customFormat="false" ht="12.8" hidden="false" customHeight="false" outlineLevel="0" collapsed="false">
      <c r="A2446" s="1" t="s">
        <v>1192</v>
      </c>
      <c r="C2446" s="3" t="s">
        <v>591</v>
      </c>
      <c r="D2446" s="4" t="s">
        <v>1322</v>
      </c>
      <c r="F2446" s="6" t="s">
        <v>1315</v>
      </c>
      <c r="G2446" s="7" t="str">
        <f aca="false">HYPERLINK(CONCATENATE("http://crfop.gdos.gov.pl/CRFOP/widok/viewuzytekekologiczny.jsf?fop=","PL.ZIPOP.1393.UE.1010052.250"),"(kliknij lub Ctrl+kliknij)")</f>
        <v>(kliknij lub Ctrl+kliknij)</v>
      </c>
      <c r="H2446" s="0" t="s">
        <v>760</v>
      </c>
    </row>
    <row r="2447" customFormat="false" ht="12.8" hidden="false" customHeight="false" outlineLevel="0" collapsed="false">
      <c r="A2447" s="1" t="s">
        <v>1192</v>
      </c>
      <c r="C2447" s="3" t="s">
        <v>591</v>
      </c>
      <c r="D2447" s="4" t="s">
        <v>1237</v>
      </c>
      <c r="F2447" s="6" t="s">
        <v>1315</v>
      </c>
      <c r="G2447" s="7" t="str">
        <f aca="false">HYPERLINK(CONCATENATE("http://crfop.gdos.gov.pl/CRFOP/widok/viewuzytekekologiczny.jsf?fop=","PL.ZIPOP.1393.UE.1010052.251"),"(kliknij lub Ctrl+kliknij)")</f>
        <v>(kliknij lub Ctrl+kliknij)</v>
      </c>
      <c r="H2447" s="0" t="s">
        <v>760</v>
      </c>
    </row>
    <row r="2448" customFormat="false" ht="12.8" hidden="false" customHeight="false" outlineLevel="0" collapsed="false">
      <c r="A2448" s="1" t="s">
        <v>1192</v>
      </c>
      <c r="C2448" s="3" t="s">
        <v>591</v>
      </c>
      <c r="D2448" s="4" t="s">
        <v>1247</v>
      </c>
      <c r="F2448" s="6" t="s">
        <v>1315</v>
      </c>
      <c r="G2448" s="7" t="str">
        <f aca="false">HYPERLINK(CONCATENATE("http://crfop.gdos.gov.pl/CRFOP/widok/viewuzytekekologiczny.jsf?fop=","PL.ZIPOP.1393.UE.1010052.252"),"(kliknij lub Ctrl+kliknij)")</f>
        <v>(kliknij lub Ctrl+kliknij)</v>
      </c>
      <c r="H2448" s="0" t="s">
        <v>760</v>
      </c>
    </row>
    <row r="2449" customFormat="false" ht="12.8" hidden="false" customHeight="false" outlineLevel="0" collapsed="false">
      <c r="A2449" s="1" t="s">
        <v>1192</v>
      </c>
      <c r="C2449" s="3" t="s">
        <v>591</v>
      </c>
      <c r="D2449" s="4" t="s">
        <v>1302</v>
      </c>
      <c r="F2449" s="6" t="s">
        <v>1315</v>
      </c>
      <c r="G2449" s="7" t="str">
        <f aca="false">HYPERLINK(CONCATENATE("http://crfop.gdos.gov.pl/CRFOP/widok/viewuzytekekologiczny.jsf?fop=","PL.ZIPOP.1393.UE.1010052.253"),"(kliknij lub Ctrl+kliknij)")</f>
        <v>(kliknij lub Ctrl+kliknij)</v>
      </c>
      <c r="H2449" s="0" t="s">
        <v>760</v>
      </c>
    </row>
    <row r="2450" customFormat="false" ht="12.8" hidden="false" customHeight="false" outlineLevel="0" collapsed="false">
      <c r="A2450" s="1" t="s">
        <v>1192</v>
      </c>
      <c r="C2450" s="3" t="s">
        <v>591</v>
      </c>
      <c r="D2450" s="4" t="s">
        <v>1252</v>
      </c>
      <c r="F2450" s="6" t="s">
        <v>1315</v>
      </c>
      <c r="G2450" s="7" t="str">
        <f aca="false">HYPERLINK(CONCATENATE("http://crfop.gdos.gov.pl/CRFOP/widok/viewuzytekekologiczny.jsf?fop=","PL.ZIPOP.1393.UE.1010052.254"),"(kliknij lub Ctrl+kliknij)")</f>
        <v>(kliknij lub Ctrl+kliknij)</v>
      </c>
      <c r="H2450" s="0" t="s">
        <v>760</v>
      </c>
    </row>
    <row r="2451" customFormat="false" ht="12.8" hidden="false" customHeight="false" outlineLevel="0" collapsed="false">
      <c r="A2451" s="1" t="s">
        <v>1192</v>
      </c>
      <c r="C2451" s="3" t="s">
        <v>591</v>
      </c>
      <c r="D2451" s="4" t="s">
        <v>1364</v>
      </c>
      <c r="F2451" s="6" t="s">
        <v>1315</v>
      </c>
      <c r="G2451" s="7" t="str">
        <f aca="false">HYPERLINK(CONCATENATE("http://crfop.gdos.gov.pl/CRFOP/widok/viewuzytekekologiczny.jsf?fop=","PL.ZIPOP.1393.UE.1010052.255"),"(kliknij lub Ctrl+kliknij)")</f>
        <v>(kliknij lub Ctrl+kliknij)</v>
      </c>
      <c r="H2451" s="0" t="s">
        <v>760</v>
      </c>
    </row>
    <row r="2452" customFormat="false" ht="12.8" hidden="false" customHeight="false" outlineLevel="0" collapsed="false">
      <c r="A2452" s="1" t="s">
        <v>1192</v>
      </c>
      <c r="C2452" s="3" t="s">
        <v>591</v>
      </c>
      <c r="D2452" s="4" t="s">
        <v>1412</v>
      </c>
      <c r="F2452" s="6" t="s">
        <v>1315</v>
      </c>
      <c r="G2452" s="7" t="str">
        <f aca="false">HYPERLINK(CONCATENATE("http://crfop.gdos.gov.pl/CRFOP/widok/viewuzytekekologiczny.jsf?fop=","PL.ZIPOP.1393.UE.1010052.256"),"(kliknij lub Ctrl+kliknij)")</f>
        <v>(kliknij lub Ctrl+kliknij)</v>
      </c>
      <c r="H2452" s="0" t="s">
        <v>760</v>
      </c>
    </row>
    <row r="2453" customFormat="false" ht="12.8" hidden="false" customHeight="false" outlineLevel="0" collapsed="false">
      <c r="A2453" s="1" t="s">
        <v>1192</v>
      </c>
      <c r="C2453" s="3" t="s">
        <v>591</v>
      </c>
      <c r="D2453" s="4" t="s">
        <v>1400</v>
      </c>
      <c r="F2453" s="6" t="s">
        <v>1315</v>
      </c>
      <c r="G2453" s="7" t="str">
        <f aca="false">HYPERLINK(CONCATENATE("http://crfop.gdos.gov.pl/CRFOP/widok/viewuzytekekologiczny.jsf?fop=","PL.ZIPOP.1393.UE.1010052.257"),"(kliknij lub Ctrl+kliknij)")</f>
        <v>(kliknij lub Ctrl+kliknij)</v>
      </c>
      <c r="H2453" s="0" t="s">
        <v>760</v>
      </c>
    </row>
    <row r="2454" customFormat="false" ht="12.8" hidden="false" customHeight="false" outlineLevel="0" collapsed="false">
      <c r="A2454" s="1" t="s">
        <v>1192</v>
      </c>
      <c r="C2454" s="3" t="s">
        <v>591</v>
      </c>
      <c r="D2454" s="4" t="s">
        <v>1400</v>
      </c>
      <c r="F2454" s="6" t="s">
        <v>1315</v>
      </c>
      <c r="G2454" s="7" t="str">
        <f aca="false">HYPERLINK(CONCATENATE("http://crfop.gdos.gov.pl/CRFOP/widok/viewuzytekekologiczny.jsf?fop=","PL.ZIPOP.1393.UE.1010052.258"),"(kliknij lub Ctrl+kliknij)")</f>
        <v>(kliknij lub Ctrl+kliknij)</v>
      </c>
      <c r="H2454" s="0" t="s">
        <v>760</v>
      </c>
    </row>
    <row r="2455" customFormat="false" ht="12.8" hidden="false" customHeight="false" outlineLevel="0" collapsed="false">
      <c r="A2455" s="1" t="s">
        <v>1192</v>
      </c>
      <c r="C2455" s="3" t="s">
        <v>591</v>
      </c>
      <c r="D2455" s="4" t="s">
        <v>1400</v>
      </c>
      <c r="F2455" s="6" t="s">
        <v>1315</v>
      </c>
      <c r="G2455" s="7" t="str">
        <f aca="false">HYPERLINK(CONCATENATE("http://crfop.gdos.gov.pl/CRFOP/widok/viewuzytekekologiczny.jsf?fop=","PL.ZIPOP.1393.UE.1010052.259"),"(kliknij lub Ctrl+kliknij)")</f>
        <v>(kliknij lub Ctrl+kliknij)</v>
      </c>
      <c r="H2455" s="0" t="s">
        <v>760</v>
      </c>
    </row>
    <row r="2456" customFormat="false" ht="12.8" hidden="false" customHeight="false" outlineLevel="0" collapsed="false">
      <c r="A2456" s="1" t="s">
        <v>1192</v>
      </c>
      <c r="C2456" s="3" t="s">
        <v>591</v>
      </c>
      <c r="D2456" s="4" t="s">
        <v>1413</v>
      </c>
      <c r="F2456" s="6" t="s">
        <v>1315</v>
      </c>
      <c r="G2456" s="7" t="str">
        <f aca="false">HYPERLINK(CONCATENATE("http://crfop.gdos.gov.pl/CRFOP/widok/viewuzytekekologiczny.jsf?fop=","PL.ZIPOP.1393.UE.1010052.260"),"(kliknij lub Ctrl+kliknij)")</f>
        <v>(kliknij lub Ctrl+kliknij)</v>
      </c>
      <c r="H2456" s="0" t="s">
        <v>760</v>
      </c>
    </row>
    <row r="2457" customFormat="false" ht="12.8" hidden="false" customHeight="false" outlineLevel="0" collapsed="false">
      <c r="A2457" s="1" t="s">
        <v>1192</v>
      </c>
      <c r="C2457" s="3" t="s">
        <v>591</v>
      </c>
      <c r="D2457" s="4" t="s">
        <v>1414</v>
      </c>
      <c r="F2457" s="6" t="s">
        <v>1315</v>
      </c>
      <c r="G2457" s="7" t="str">
        <f aca="false">HYPERLINK(CONCATENATE("http://crfop.gdos.gov.pl/CRFOP/widok/viewuzytekekologiczny.jsf?fop=","PL.ZIPOP.1393.UE.1010052.261"),"(kliknij lub Ctrl+kliknij)")</f>
        <v>(kliknij lub Ctrl+kliknij)</v>
      </c>
      <c r="H2457" s="0" t="s">
        <v>760</v>
      </c>
    </row>
    <row r="2458" customFormat="false" ht="12.8" hidden="false" customHeight="false" outlineLevel="0" collapsed="false">
      <c r="A2458" s="1" t="s">
        <v>1192</v>
      </c>
      <c r="C2458" s="3" t="s">
        <v>591</v>
      </c>
      <c r="D2458" s="4" t="s">
        <v>1247</v>
      </c>
      <c r="F2458" s="6" t="s">
        <v>1315</v>
      </c>
      <c r="G2458" s="7" t="str">
        <f aca="false">HYPERLINK(CONCATENATE("http://crfop.gdos.gov.pl/CRFOP/widok/viewuzytekekologiczny.jsf?fop=","PL.ZIPOP.1393.UE.1010052.262"),"(kliknij lub Ctrl+kliknij)")</f>
        <v>(kliknij lub Ctrl+kliknij)</v>
      </c>
      <c r="H2458" s="0" t="s">
        <v>760</v>
      </c>
    </row>
    <row r="2459" customFormat="false" ht="12.8" hidden="false" customHeight="false" outlineLevel="0" collapsed="false">
      <c r="A2459" s="1" t="s">
        <v>1192</v>
      </c>
      <c r="C2459" s="3" t="s">
        <v>591</v>
      </c>
      <c r="D2459" s="4" t="s">
        <v>1413</v>
      </c>
      <c r="F2459" s="6" t="s">
        <v>1315</v>
      </c>
      <c r="G2459" s="7" t="str">
        <f aca="false">HYPERLINK(CONCATENATE("http://crfop.gdos.gov.pl/CRFOP/widok/viewuzytekekologiczny.jsf?fop=","PL.ZIPOP.1393.UE.1010052.263"),"(kliknij lub Ctrl+kliknij)")</f>
        <v>(kliknij lub Ctrl+kliknij)</v>
      </c>
      <c r="H2459" s="0" t="s">
        <v>760</v>
      </c>
    </row>
    <row r="2460" customFormat="false" ht="12.8" hidden="false" customHeight="false" outlineLevel="0" collapsed="false">
      <c r="A2460" s="1" t="s">
        <v>1192</v>
      </c>
      <c r="C2460" s="3" t="s">
        <v>591</v>
      </c>
      <c r="D2460" s="4" t="s">
        <v>1413</v>
      </c>
      <c r="F2460" s="6" t="s">
        <v>1315</v>
      </c>
      <c r="G2460" s="7" t="str">
        <f aca="false">HYPERLINK(CONCATENATE("http://crfop.gdos.gov.pl/CRFOP/widok/viewuzytekekologiczny.jsf?fop=","PL.ZIPOP.1393.UE.1010052.264"),"(kliknij lub Ctrl+kliknij)")</f>
        <v>(kliknij lub Ctrl+kliknij)</v>
      </c>
      <c r="H2460" s="0" t="s">
        <v>760</v>
      </c>
    </row>
    <row r="2461" customFormat="false" ht="12.8" hidden="false" customHeight="false" outlineLevel="0" collapsed="false">
      <c r="A2461" s="1" t="s">
        <v>1192</v>
      </c>
      <c r="C2461" s="3" t="s">
        <v>591</v>
      </c>
      <c r="D2461" s="4" t="s">
        <v>1400</v>
      </c>
      <c r="F2461" s="6" t="s">
        <v>1315</v>
      </c>
      <c r="G2461" s="7" t="str">
        <f aca="false">HYPERLINK(CONCATENATE("http://crfop.gdos.gov.pl/CRFOP/widok/viewuzytekekologiczny.jsf?fop=","PL.ZIPOP.1393.UE.1010052.265"),"(kliknij lub Ctrl+kliknij)")</f>
        <v>(kliknij lub Ctrl+kliknij)</v>
      </c>
      <c r="H2461" s="0" t="s">
        <v>760</v>
      </c>
    </row>
    <row r="2462" customFormat="false" ht="12.8" hidden="false" customHeight="false" outlineLevel="0" collapsed="false">
      <c r="A2462" s="1" t="s">
        <v>1192</v>
      </c>
      <c r="C2462" s="3" t="s">
        <v>591</v>
      </c>
      <c r="D2462" s="4" t="s">
        <v>1400</v>
      </c>
      <c r="F2462" s="6" t="s">
        <v>1315</v>
      </c>
      <c r="G2462" s="7" t="str">
        <f aca="false">HYPERLINK(CONCATENATE("http://crfop.gdos.gov.pl/CRFOP/widok/viewuzytekekologiczny.jsf?fop=","PL.ZIPOP.1393.UE.1010052.266"),"(kliknij lub Ctrl+kliknij)")</f>
        <v>(kliknij lub Ctrl+kliknij)</v>
      </c>
      <c r="H2462" s="0" t="s">
        <v>760</v>
      </c>
    </row>
    <row r="2463" customFormat="false" ht="12.8" hidden="false" customHeight="false" outlineLevel="0" collapsed="false">
      <c r="A2463" s="1" t="s">
        <v>1192</v>
      </c>
      <c r="C2463" s="3" t="s">
        <v>591</v>
      </c>
      <c r="D2463" s="4" t="s">
        <v>1400</v>
      </c>
      <c r="F2463" s="6" t="s">
        <v>1315</v>
      </c>
      <c r="G2463" s="7" t="str">
        <f aca="false">HYPERLINK(CONCATENATE("http://crfop.gdos.gov.pl/CRFOP/widok/viewuzytekekologiczny.jsf?fop=","PL.ZIPOP.1393.UE.1010052.267"),"(kliknij lub Ctrl+kliknij)")</f>
        <v>(kliknij lub Ctrl+kliknij)</v>
      </c>
      <c r="H2463" s="0" t="s">
        <v>760</v>
      </c>
    </row>
    <row r="2464" customFormat="false" ht="12.8" hidden="false" customHeight="false" outlineLevel="0" collapsed="false">
      <c r="A2464" s="1" t="s">
        <v>1192</v>
      </c>
      <c r="C2464" s="3" t="s">
        <v>591</v>
      </c>
      <c r="D2464" s="4" t="s">
        <v>1400</v>
      </c>
      <c r="F2464" s="6" t="s">
        <v>1315</v>
      </c>
      <c r="G2464" s="7" t="str">
        <f aca="false">HYPERLINK(CONCATENATE("http://crfop.gdos.gov.pl/CRFOP/widok/viewuzytekekologiczny.jsf?fop=","PL.ZIPOP.1393.UE.1010052.268"),"(kliknij lub Ctrl+kliknij)")</f>
        <v>(kliknij lub Ctrl+kliknij)</v>
      </c>
      <c r="H2464" s="0" t="s">
        <v>760</v>
      </c>
    </row>
    <row r="2465" customFormat="false" ht="12.8" hidden="false" customHeight="false" outlineLevel="0" collapsed="false">
      <c r="A2465" s="1" t="s">
        <v>1192</v>
      </c>
      <c r="C2465" s="3" t="s">
        <v>591</v>
      </c>
      <c r="D2465" s="4" t="s">
        <v>1337</v>
      </c>
      <c r="F2465" s="6" t="s">
        <v>1195</v>
      </c>
      <c r="G2465" s="7" t="str">
        <f aca="false">HYPERLINK(CONCATENATE("http://crfop.gdos.gov.pl/CRFOP/widok/viewuzytekekologiczny.jsf?fop=","PL.ZIPOP.1393.UE.1010052.269"),"(kliknij lub Ctrl+kliknij)")</f>
        <v>(kliknij lub Ctrl+kliknij)</v>
      </c>
      <c r="H2465" s="0" t="s">
        <v>760</v>
      </c>
    </row>
    <row r="2466" customFormat="false" ht="12.8" hidden="false" customHeight="false" outlineLevel="0" collapsed="false">
      <c r="A2466" s="1" t="s">
        <v>1192</v>
      </c>
      <c r="C2466" s="3" t="s">
        <v>591</v>
      </c>
      <c r="D2466" s="4" t="s">
        <v>1415</v>
      </c>
      <c r="F2466" s="6" t="s">
        <v>1315</v>
      </c>
      <c r="G2466" s="7" t="str">
        <f aca="false">HYPERLINK(CONCATENATE("http://crfop.gdos.gov.pl/CRFOP/widok/viewuzytekekologiczny.jsf?fop=","PL.ZIPOP.1393.UE.1010052.270"),"(kliknij lub Ctrl+kliknij)")</f>
        <v>(kliknij lub Ctrl+kliknij)</v>
      </c>
      <c r="H2466" s="0" t="s">
        <v>760</v>
      </c>
    </row>
    <row r="2467" customFormat="false" ht="12.8" hidden="false" customHeight="false" outlineLevel="0" collapsed="false">
      <c r="A2467" s="1" t="s">
        <v>1192</v>
      </c>
      <c r="C2467" s="3" t="s">
        <v>591</v>
      </c>
      <c r="D2467" s="4" t="s">
        <v>1410</v>
      </c>
      <c r="F2467" s="6" t="s">
        <v>1315</v>
      </c>
      <c r="G2467" s="7" t="str">
        <f aca="false">HYPERLINK(CONCATENATE("http://crfop.gdos.gov.pl/CRFOP/widok/viewuzytekekologiczny.jsf?fop=","PL.ZIPOP.1393.UE.1010052.271"),"(kliknij lub Ctrl+kliknij)")</f>
        <v>(kliknij lub Ctrl+kliknij)</v>
      </c>
      <c r="H2467" s="0" t="s">
        <v>760</v>
      </c>
    </row>
    <row r="2468" customFormat="false" ht="12.8" hidden="false" customHeight="false" outlineLevel="0" collapsed="false">
      <c r="A2468" s="1" t="s">
        <v>1192</v>
      </c>
      <c r="C2468" s="3" t="s">
        <v>591</v>
      </c>
      <c r="D2468" s="4" t="s">
        <v>1415</v>
      </c>
      <c r="F2468" s="6" t="s">
        <v>1315</v>
      </c>
      <c r="G2468" s="7" t="str">
        <f aca="false">HYPERLINK(CONCATENATE("http://crfop.gdos.gov.pl/CRFOP/widok/viewuzytekekologiczny.jsf?fop=","PL.ZIPOP.1393.UE.1010052.272"),"(kliknij lub Ctrl+kliknij)")</f>
        <v>(kliknij lub Ctrl+kliknij)</v>
      </c>
      <c r="H2468" s="0" t="s">
        <v>760</v>
      </c>
    </row>
    <row r="2469" customFormat="false" ht="12.8" hidden="false" customHeight="false" outlineLevel="0" collapsed="false">
      <c r="A2469" s="1" t="s">
        <v>1192</v>
      </c>
      <c r="C2469" s="3" t="s">
        <v>591</v>
      </c>
      <c r="D2469" s="4" t="s">
        <v>1410</v>
      </c>
      <c r="F2469" s="6" t="s">
        <v>1315</v>
      </c>
      <c r="G2469" s="7" t="str">
        <f aca="false">HYPERLINK(CONCATENATE("http://crfop.gdos.gov.pl/CRFOP/widok/viewuzytekekologiczny.jsf?fop=","PL.ZIPOP.1393.UE.1010052.273"),"(kliknij lub Ctrl+kliknij)")</f>
        <v>(kliknij lub Ctrl+kliknij)</v>
      </c>
      <c r="H2469" s="0" t="s">
        <v>760</v>
      </c>
    </row>
    <row r="2470" customFormat="false" ht="12.8" hidden="false" customHeight="false" outlineLevel="0" collapsed="false">
      <c r="A2470" s="1" t="s">
        <v>1192</v>
      </c>
      <c r="C2470" s="3" t="s">
        <v>591</v>
      </c>
      <c r="D2470" s="4" t="s">
        <v>1410</v>
      </c>
      <c r="F2470" s="6" t="s">
        <v>1315</v>
      </c>
      <c r="G2470" s="7" t="str">
        <f aca="false">HYPERLINK(CONCATENATE("http://crfop.gdos.gov.pl/CRFOP/widok/viewuzytekekologiczny.jsf?fop=","PL.ZIPOP.1393.UE.1010052.274"),"(kliknij lub Ctrl+kliknij)")</f>
        <v>(kliknij lub Ctrl+kliknij)</v>
      </c>
      <c r="H2470" s="0" t="s">
        <v>760</v>
      </c>
    </row>
    <row r="2471" customFormat="false" ht="12.8" hidden="false" customHeight="false" outlineLevel="0" collapsed="false">
      <c r="A2471" s="1" t="s">
        <v>1192</v>
      </c>
      <c r="C2471" s="3" t="s">
        <v>591</v>
      </c>
      <c r="D2471" s="4" t="s">
        <v>1416</v>
      </c>
      <c r="F2471" s="6" t="s">
        <v>1315</v>
      </c>
      <c r="G2471" s="7" t="str">
        <f aca="false">HYPERLINK(CONCATENATE("http://crfop.gdos.gov.pl/CRFOP/widok/viewuzytekekologiczny.jsf?fop=","PL.ZIPOP.1393.UE.1010052.275"),"(kliknij lub Ctrl+kliknij)")</f>
        <v>(kliknij lub Ctrl+kliknij)</v>
      </c>
      <c r="H2471" s="0" t="s">
        <v>760</v>
      </c>
    </row>
    <row r="2472" customFormat="false" ht="12.8" hidden="false" customHeight="false" outlineLevel="0" collapsed="false">
      <c r="A2472" s="1" t="s">
        <v>1192</v>
      </c>
      <c r="C2472" s="3" t="s">
        <v>591</v>
      </c>
      <c r="D2472" s="4" t="s">
        <v>1389</v>
      </c>
      <c r="F2472" s="6" t="s">
        <v>1315</v>
      </c>
      <c r="G2472" s="7" t="str">
        <f aca="false">HYPERLINK(CONCATENATE("http://crfop.gdos.gov.pl/CRFOP/widok/viewuzytekekologiczny.jsf?fop=","PL.ZIPOP.1393.UE.1010052.276"),"(kliknij lub Ctrl+kliknij)")</f>
        <v>(kliknij lub Ctrl+kliknij)</v>
      </c>
      <c r="H2472" s="0" t="s">
        <v>760</v>
      </c>
    </row>
    <row r="2473" customFormat="false" ht="12.8" hidden="false" customHeight="false" outlineLevel="0" collapsed="false">
      <c r="A2473" s="1" t="s">
        <v>1192</v>
      </c>
      <c r="C2473" s="3" t="s">
        <v>591</v>
      </c>
      <c r="D2473" s="4" t="s">
        <v>1223</v>
      </c>
      <c r="F2473" s="6" t="s">
        <v>1315</v>
      </c>
      <c r="G2473" s="7" t="str">
        <f aca="false">HYPERLINK(CONCATENATE("http://crfop.gdos.gov.pl/CRFOP/widok/viewuzytekekologiczny.jsf?fop=","PL.ZIPOP.1393.UE.1010052.277"),"(kliknij lub Ctrl+kliknij)")</f>
        <v>(kliknij lub Ctrl+kliknij)</v>
      </c>
      <c r="H2473" s="0" t="s">
        <v>760</v>
      </c>
    </row>
    <row r="2474" customFormat="false" ht="12.8" hidden="false" customHeight="false" outlineLevel="0" collapsed="false">
      <c r="A2474" s="1" t="s">
        <v>1192</v>
      </c>
      <c r="C2474" s="3" t="s">
        <v>591</v>
      </c>
      <c r="D2474" s="4" t="s">
        <v>1337</v>
      </c>
      <c r="F2474" s="6" t="s">
        <v>1315</v>
      </c>
      <c r="G2474" s="7" t="str">
        <f aca="false">HYPERLINK(CONCATENATE("http://crfop.gdos.gov.pl/CRFOP/widok/viewuzytekekologiczny.jsf?fop=","PL.ZIPOP.1393.UE.1010052.278"),"(kliknij lub Ctrl+kliknij)")</f>
        <v>(kliknij lub Ctrl+kliknij)</v>
      </c>
      <c r="H2474" s="0" t="s">
        <v>760</v>
      </c>
    </row>
    <row r="2475" customFormat="false" ht="12.8" hidden="false" customHeight="false" outlineLevel="0" collapsed="false">
      <c r="A2475" s="1" t="s">
        <v>1192</v>
      </c>
      <c r="C2475" s="3" t="s">
        <v>591</v>
      </c>
      <c r="D2475" s="4" t="s">
        <v>1235</v>
      </c>
      <c r="F2475" s="6" t="s">
        <v>1315</v>
      </c>
      <c r="G2475" s="7" t="str">
        <f aca="false">HYPERLINK(CONCATENATE("http://crfop.gdos.gov.pl/CRFOP/widok/viewuzytekekologiczny.jsf?fop=","PL.ZIPOP.1393.UE.1010052.37"),"(kliknij lub Ctrl+kliknij)")</f>
        <v>(kliknij lub Ctrl+kliknij)</v>
      </c>
      <c r="H2475" s="0" t="s">
        <v>760</v>
      </c>
    </row>
    <row r="2476" customFormat="false" ht="12.8" hidden="false" customHeight="false" outlineLevel="0" collapsed="false">
      <c r="A2476" s="1" t="s">
        <v>1192</v>
      </c>
      <c r="C2476" s="3" t="s">
        <v>591</v>
      </c>
      <c r="D2476" s="4" t="s">
        <v>1215</v>
      </c>
      <c r="F2476" s="6" t="s">
        <v>1315</v>
      </c>
      <c r="G2476" s="7" t="str">
        <f aca="false">HYPERLINK(CONCATENATE("http://crfop.gdos.gov.pl/CRFOP/widok/viewuzytekekologiczny.jsf?fop=","PL.ZIPOP.1393.UE.1010052.742"),"(kliknij lub Ctrl+kliknij)")</f>
        <v>(kliknij lub Ctrl+kliknij)</v>
      </c>
      <c r="H2476" s="0" t="s">
        <v>760</v>
      </c>
    </row>
    <row r="2477" customFormat="false" ht="12.8" hidden="false" customHeight="false" outlineLevel="0" collapsed="false">
      <c r="A2477" s="1" t="s">
        <v>1192</v>
      </c>
      <c r="C2477" s="3" t="s">
        <v>591</v>
      </c>
      <c r="D2477" s="4" t="s">
        <v>1391</v>
      </c>
      <c r="F2477" s="6" t="s">
        <v>1315</v>
      </c>
      <c r="G2477" s="7" t="str">
        <f aca="false">HYPERLINK(CONCATENATE("http://crfop.gdos.gov.pl/CRFOP/widok/viewuzytekekologiczny.jsf?fop=","PL.ZIPOP.1393.UE.1010052.743"),"(kliknij lub Ctrl+kliknij)")</f>
        <v>(kliknij lub Ctrl+kliknij)</v>
      </c>
      <c r="H2477" s="0" t="s">
        <v>760</v>
      </c>
    </row>
    <row r="2478" customFormat="false" ht="12.8" hidden="false" customHeight="false" outlineLevel="0" collapsed="false">
      <c r="A2478" s="1" t="s">
        <v>1192</v>
      </c>
      <c r="C2478" s="3" t="s">
        <v>591</v>
      </c>
      <c r="D2478" s="4" t="s">
        <v>1407</v>
      </c>
      <c r="F2478" s="6" t="s">
        <v>1315</v>
      </c>
      <c r="G2478" s="7" t="str">
        <f aca="false">HYPERLINK(CONCATENATE("http://crfop.gdos.gov.pl/CRFOP/widok/viewuzytekekologiczny.jsf?fop=","PL.ZIPOP.1393.UE.1010052.744"),"(kliknij lub Ctrl+kliknij)")</f>
        <v>(kliknij lub Ctrl+kliknij)</v>
      </c>
      <c r="H2478" s="0" t="s">
        <v>760</v>
      </c>
    </row>
    <row r="2479" customFormat="false" ht="12.8" hidden="false" customHeight="false" outlineLevel="0" collapsed="false">
      <c r="A2479" s="1" t="s">
        <v>1192</v>
      </c>
      <c r="C2479" s="3" t="s">
        <v>591</v>
      </c>
      <c r="D2479" s="4" t="s">
        <v>1216</v>
      </c>
      <c r="F2479" s="6" t="s">
        <v>1315</v>
      </c>
      <c r="G2479" s="7" t="str">
        <f aca="false">HYPERLINK(CONCATENATE("http://crfop.gdos.gov.pl/CRFOP/widok/viewuzytekekologiczny.jsf?fop=","PL.ZIPOP.1393.UE.1010052.762"),"(kliknij lub Ctrl+kliknij)")</f>
        <v>(kliknij lub Ctrl+kliknij)</v>
      </c>
      <c r="H2479" s="0" t="s">
        <v>760</v>
      </c>
    </row>
    <row r="2480" customFormat="false" ht="12.8" hidden="false" customHeight="false" outlineLevel="0" collapsed="false">
      <c r="A2480" s="1" t="s">
        <v>1192</v>
      </c>
      <c r="C2480" s="3" t="s">
        <v>591</v>
      </c>
      <c r="D2480" s="4" t="s">
        <v>1209</v>
      </c>
      <c r="F2480" s="6" t="s">
        <v>1315</v>
      </c>
      <c r="G2480" s="7" t="str">
        <f aca="false">HYPERLINK(CONCATENATE("http://crfop.gdos.gov.pl/CRFOP/widok/viewuzytekekologiczny.jsf?fop=","PL.ZIPOP.1393.UE.1010052.778"),"(kliknij lub Ctrl+kliknij)")</f>
        <v>(kliknij lub Ctrl+kliknij)</v>
      </c>
      <c r="H2480" s="0" t="s">
        <v>760</v>
      </c>
    </row>
    <row r="2481" customFormat="false" ht="12.8" hidden="false" customHeight="false" outlineLevel="0" collapsed="false">
      <c r="A2481" s="1" t="s">
        <v>1192</v>
      </c>
      <c r="C2481" s="3" t="s">
        <v>591</v>
      </c>
      <c r="D2481" s="4" t="s">
        <v>1211</v>
      </c>
      <c r="F2481" s="6" t="s">
        <v>1315</v>
      </c>
      <c r="G2481" s="7" t="str">
        <f aca="false">HYPERLINK(CONCATENATE("http://crfop.gdos.gov.pl/CRFOP/widok/viewuzytekekologiczny.jsf?fop=","PL.ZIPOP.1393.UE.1010052.804"),"(kliknij lub Ctrl+kliknij)")</f>
        <v>(kliknij lub Ctrl+kliknij)</v>
      </c>
      <c r="H2481" s="0" t="s">
        <v>760</v>
      </c>
    </row>
    <row r="2482" customFormat="false" ht="12.8" hidden="false" customHeight="false" outlineLevel="0" collapsed="false">
      <c r="A2482" s="1" t="s">
        <v>1192</v>
      </c>
      <c r="C2482" s="3" t="s">
        <v>591</v>
      </c>
      <c r="D2482" s="4" t="s">
        <v>1413</v>
      </c>
      <c r="F2482" s="6" t="s">
        <v>1315</v>
      </c>
      <c r="G2482" s="7" t="str">
        <f aca="false">HYPERLINK(CONCATENATE("http://crfop.gdos.gov.pl/CRFOP/widok/viewuzytekekologiczny.jsf?fop=","PL.ZIPOP.1393.UE.1010052.816"),"(kliknij lub Ctrl+kliknij)")</f>
        <v>(kliknij lub Ctrl+kliknij)</v>
      </c>
      <c r="H2482" s="0" t="s">
        <v>760</v>
      </c>
    </row>
    <row r="2483" customFormat="false" ht="12.8" hidden="false" customHeight="false" outlineLevel="0" collapsed="false">
      <c r="A2483" s="1" t="s">
        <v>1192</v>
      </c>
      <c r="C2483" s="3" t="s">
        <v>591</v>
      </c>
      <c r="D2483" s="4" t="s">
        <v>1302</v>
      </c>
      <c r="F2483" s="6" t="s">
        <v>1315</v>
      </c>
      <c r="G2483" s="7" t="str">
        <f aca="false">HYPERLINK(CONCATENATE("http://crfop.gdos.gov.pl/CRFOP/widok/viewuzytekekologiczny.jsf?fop=","PL.ZIPOP.1393.UE.1010052.868"),"(kliknij lub Ctrl+kliknij)")</f>
        <v>(kliknij lub Ctrl+kliknij)</v>
      </c>
      <c r="H2483" s="0" t="s">
        <v>760</v>
      </c>
    </row>
    <row r="2484" customFormat="false" ht="12.8" hidden="false" customHeight="false" outlineLevel="0" collapsed="false">
      <c r="A2484" s="1" t="s">
        <v>1192</v>
      </c>
      <c r="C2484" s="3" t="s">
        <v>591</v>
      </c>
      <c r="D2484" s="4" t="s">
        <v>1249</v>
      </c>
      <c r="F2484" s="6" t="s">
        <v>1315</v>
      </c>
      <c r="G2484" s="7" t="str">
        <f aca="false">HYPERLINK(CONCATENATE("http://crfop.gdos.gov.pl/CRFOP/widok/viewuzytekekologiczny.jsf?fop=","PL.ZIPOP.1393.UE.1010052.869"),"(kliknij lub Ctrl+kliknij)")</f>
        <v>(kliknij lub Ctrl+kliknij)</v>
      </c>
      <c r="H2484" s="0" t="s">
        <v>760</v>
      </c>
    </row>
    <row r="2485" customFormat="false" ht="12.8" hidden="false" customHeight="false" outlineLevel="0" collapsed="false">
      <c r="A2485" s="1" t="s">
        <v>1192</v>
      </c>
      <c r="C2485" s="3" t="s">
        <v>591</v>
      </c>
      <c r="D2485" s="4" t="s">
        <v>1277</v>
      </c>
      <c r="F2485" s="6" t="s">
        <v>1315</v>
      </c>
      <c r="G2485" s="7" t="str">
        <f aca="false">HYPERLINK(CONCATENATE("http://crfop.gdos.gov.pl/CRFOP/widok/viewuzytekekologiczny.jsf?fop=","PL.ZIPOP.1393.UE.1010052.873"),"(kliknij lub Ctrl+kliknij)")</f>
        <v>(kliknij lub Ctrl+kliknij)</v>
      </c>
      <c r="H2485" s="0" t="s">
        <v>760</v>
      </c>
    </row>
    <row r="2486" customFormat="false" ht="12.8" hidden="false" customHeight="false" outlineLevel="0" collapsed="false">
      <c r="A2486" s="1" t="s">
        <v>1192</v>
      </c>
      <c r="C2486" s="3" t="s">
        <v>591</v>
      </c>
      <c r="D2486" s="4" t="s">
        <v>1277</v>
      </c>
      <c r="F2486" s="6" t="s">
        <v>1315</v>
      </c>
      <c r="G2486" s="7" t="str">
        <f aca="false">HYPERLINK(CONCATENATE("http://crfop.gdos.gov.pl/CRFOP/widok/viewuzytekekologiczny.jsf?fop=","PL.ZIPOP.1393.UE.1010052.884"),"(kliknij lub Ctrl+kliknij)")</f>
        <v>(kliknij lub Ctrl+kliknij)</v>
      </c>
      <c r="H2486" s="0" t="s">
        <v>760</v>
      </c>
    </row>
    <row r="2487" customFormat="false" ht="12.8" hidden="false" customHeight="false" outlineLevel="0" collapsed="false">
      <c r="A2487" s="1" t="s">
        <v>1192</v>
      </c>
      <c r="C2487" s="3" t="s">
        <v>399</v>
      </c>
      <c r="D2487" s="4" t="s">
        <v>1281</v>
      </c>
      <c r="F2487" s="6" t="s">
        <v>1417</v>
      </c>
      <c r="G2487" s="7" t="str">
        <f aca="false">HYPERLINK(CONCATENATE("http://crfop.gdos.gov.pl/CRFOP/widok/viewuzytekekologiczny.jsf?fop=","PL.ZIPOP.1393.UE.1010062.279"),"(kliknij lub Ctrl+kliknij)")</f>
        <v>(kliknij lub Ctrl+kliknij)</v>
      </c>
      <c r="H2487" s="0" t="s">
        <v>761</v>
      </c>
    </row>
    <row r="2488" customFormat="false" ht="12.8" hidden="false" customHeight="false" outlineLevel="0" collapsed="false">
      <c r="A2488" s="1" t="s">
        <v>1192</v>
      </c>
      <c r="B2488" s="2" t="s">
        <v>1418</v>
      </c>
      <c r="C2488" s="3" t="s">
        <v>1419</v>
      </c>
      <c r="D2488" s="4" t="s">
        <v>571</v>
      </c>
      <c r="F2488" s="6" t="s">
        <v>1420</v>
      </c>
      <c r="G2488" s="7" t="str">
        <f aca="false">HYPERLINK(CONCATENATE("http://crfop.gdos.gov.pl/CRFOP/widok/viewuzytekekologiczny.jsf?fop=","PL.ZIPOP.1393.UE.1010062.280"),"(kliknij lub Ctrl+kliknij)")</f>
        <v>(kliknij lub Ctrl+kliknij)</v>
      </c>
      <c r="H2488" s="0" t="s">
        <v>761</v>
      </c>
    </row>
    <row r="2489" customFormat="false" ht="12.8" hidden="false" customHeight="false" outlineLevel="0" collapsed="false">
      <c r="A2489" s="1" t="s">
        <v>1192</v>
      </c>
      <c r="C2489" s="3" t="s">
        <v>591</v>
      </c>
      <c r="D2489" s="4" t="s">
        <v>1415</v>
      </c>
      <c r="F2489" s="6" t="s">
        <v>1315</v>
      </c>
      <c r="G2489" s="7" t="str">
        <f aca="false">HYPERLINK(CONCATENATE("http://crfop.gdos.gov.pl/CRFOP/widok/viewuzytekekologiczny.jsf?fop=","PL.ZIPOP.1393.UE.1010072.16"),"(kliknij lub Ctrl+kliknij)")</f>
        <v>(kliknij lub Ctrl+kliknij)</v>
      </c>
      <c r="H2489" s="0" t="s">
        <v>764</v>
      </c>
    </row>
    <row r="2490" customFormat="false" ht="12.8" hidden="false" customHeight="false" outlineLevel="0" collapsed="false">
      <c r="A2490" s="1" t="s">
        <v>1192</v>
      </c>
      <c r="C2490" s="3" t="s">
        <v>1193</v>
      </c>
      <c r="D2490" s="4" t="s">
        <v>1364</v>
      </c>
      <c r="F2490" s="6" t="s">
        <v>1195</v>
      </c>
      <c r="G2490" s="7" t="str">
        <f aca="false">HYPERLINK(CONCATENATE("http://crfop.gdos.gov.pl/CRFOP/widok/viewuzytekekologiczny.jsf?fop=","PL.ZIPOP.1393.UE.1010072.291"),"(kliknij lub Ctrl+kliknij)")</f>
        <v>(kliknij lub Ctrl+kliknij)</v>
      </c>
      <c r="H2490" s="0" t="s">
        <v>764</v>
      </c>
    </row>
    <row r="2491" customFormat="false" ht="12.8" hidden="false" customHeight="false" outlineLevel="0" collapsed="false">
      <c r="A2491" s="1" t="s">
        <v>1192</v>
      </c>
      <c r="C2491" s="3" t="s">
        <v>574</v>
      </c>
      <c r="D2491" s="4" t="s">
        <v>1213</v>
      </c>
      <c r="F2491" s="6" t="s">
        <v>1198</v>
      </c>
      <c r="G2491" s="7" t="str">
        <f aca="false">HYPERLINK(CONCATENATE("http://crfop.gdos.gov.pl/CRFOP/widok/viewuzytekekologiczny.jsf?fop=","PL.ZIPOP.1393.UE.1010072.292"),"(kliknij lub Ctrl+kliknij)")</f>
        <v>(kliknij lub Ctrl+kliknij)</v>
      </c>
      <c r="H2491" s="0" t="s">
        <v>764</v>
      </c>
    </row>
    <row r="2492" customFormat="false" ht="12.8" hidden="false" customHeight="false" outlineLevel="0" collapsed="false">
      <c r="A2492" s="1" t="s">
        <v>1192</v>
      </c>
      <c r="C2492" s="3" t="s">
        <v>574</v>
      </c>
      <c r="D2492" s="4" t="s">
        <v>1212</v>
      </c>
      <c r="F2492" s="6" t="s">
        <v>1198</v>
      </c>
      <c r="G2492" s="7" t="str">
        <f aca="false">HYPERLINK(CONCATENATE("http://crfop.gdos.gov.pl/CRFOP/widok/viewuzytekekologiczny.jsf?fop=","PL.ZIPOP.1393.UE.1010072.293"),"(kliknij lub Ctrl+kliknij)")</f>
        <v>(kliknij lub Ctrl+kliknij)</v>
      </c>
      <c r="H2492" s="0" t="s">
        <v>764</v>
      </c>
    </row>
    <row r="2493" customFormat="false" ht="12.8" hidden="false" customHeight="false" outlineLevel="0" collapsed="false">
      <c r="A2493" s="1" t="s">
        <v>1192</v>
      </c>
      <c r="C2493" s="3" t="s">
        <v>591</v>
      </c>
      <c r="D2493" s="4" t="s">
        <v>1421</v>
      </c>
      <c r="F2493" s="6" t="s">
        <v>1315</v>
      </c>
      <c r="G2493" s="7" t="str">
        <f aca="false">HYPERLINK(CONCATENATE("http://crfop.gdos.gov.pl/CRFOP/widok/viewuzytekekologiczny.jsf?fop=","PL.ZIPOP.1393.UE.1010072.294"),"(kliknij lub Ctrl+kliknij)")</f>
        <v>(kliknij lub Ctrl+kliknij)</v>
      </c>
      <c r="H2493" s="0" t="s">
        <v>764</v>
      </c>
    </row>
    <row r="2494" customFormat="false" ht="12.8" hidden="false" customHeight="false" outlineLevel="0" collapsed="false">
      <c r="A2494" s="1" t="s">
        <v>1192</v>
      </c>
      <c r="C2494" s="3" t="s">
        <v>574</v>
      </c>
      <c r="D2494" s="4" t="s">
        <v>1214</v>
      </c>
      <c r="F2494" s="6" t="s">
        <v>1198</v>
      </c>
      <c r="G2494" s="7" t="str">
        <f aca="false">HYPERLINK(CONCATENATE("http://crfop.gdos.gov.pl/CRFOP/widok/viewuzytekekologiczny.jsf?fop=","PL.ZIPOP.1393.UE.1010072.295"),"(kliknij lub Ctrl+kliknij)")</f>
        <v>(kliknij lub Ctrl+kliknij)</v>
      </c>
      <c r="H2494" s="0" t="s">
        <v>764</v>
      </c>
    </row>
    <row r="2495" customFormat="false" ht="12.8" hidden="false" customHeight="false" outlineLevel="0" collapsed="false">
      <c r="A2495" s="1" t="s">
        <v>1192</v>
      </c>
      <c r="C2495" s="3" t="s">
        <v>574</v>
      </c>
      <c r="D2495" s="4" t="s">
        <v>1226</v>
      </c>
      <c r="F2495" s="6" t="s">
        <v>1198</v>
      </c>
      <c r="G2495" s="7" t="str">
        <f aca="false">HYPERLINK(CONCATENATE("http://crfop.gdos.gov.pl/CRFOP/widok/viewuzytekekologiczny.jsf?fop=","PL.ZIPOP.1393.UE.1010072.296"),"(kliknij lub Ctrl+kliknij)")</f>
        <v>(kliknij lub Ctrl+kliknij)</v>
      </c>
      <c r="H2495" s="0" t="s">
        <v>764</v>
      </c>
    </row>
    <row r="2496" customFormat="false" ht="12.8" hidden="false" customHeight="false" outlineLevel="0" collapsed="false">
      <c r="A2496" s="1" t="s">
        <v>1192</v>
      </c>
      <c r="C2496" s="3" t="s">
        <v>574</v>
      </c>
      <c r="D2496" s="4" t="s">
        <v>1214</v>
      </c>
      <c r="F2496" s="6" t="s">
        <v>1198</v>
      </c>
      <c r="G2496" s="7" t="str">
        <f aca="false">HYPERLINK(CONCATENATE("http://crfop.gdos.gov.pl/CRFOP/widok/viewuzytekekologiczny.jsf?fop=","PL.ZIPOP.1393.UE.1010072.297"),"(kliknij lub Ctrl+kliknij)")</f>
        <v>(kliknij lub Ctrl+kliknij)</v>
      </c>
      <c r="H2496" s="0" t="s">
        <v>764</v>
      </c>
    </row>
    <row r="2497" customFormat="false" ht="12.8" hidden="false" customHeight="false" outlineLevel="0" collapsed="false">
      <c r="A2497" s="1" t="s">
        <v>1192</v>
      </c>
      <c r="C2497" s="3" t="s">
        <v>574</v>
      </c>
      <c r="D2497" s="4" t="s">
        <v>1322</v>
      </c>
      <c r="F2497" s="6" t="s">
        <v>1198</v>
      </c>
      <c r="G2497" s="7" t="str">
        <f aca="false">HYPERLINK(CONCATENATE("http://crfop.gdos.gov.pl/CRFOP/widok/viewuzytekekologiczny.jsf?fop=","PL.ZIPOP.1393.UE.1010072.298"),"(kliknij lub Ctrl+kliknij)")</f>
        <v>(kliknij lub Ctrl+kliknij)</v>
      </c>
      <c r="H2497" s="0" t="s">
        <v>764</v>
      </c>
    </row>
    <row r="2498" customFormat="false" ht="12.8" hidden="false" customHeight="false" outlineLevel="0" collapsed="false">
      <c r="A2498" s="1" t="s">
        <v>1192</v>
      </c>
      <c r="C2498" s="3" t="s">
        <v>591</v>
      </c>
      <c r="D2498" s="4" t="s">
        <v>1220</v>
      </c>
      <c r="F2498" s="6" t="s">
        <v>1315</v>
      </c>
      <c r="G2498" s="7" t="str">
        <f aca="false">HYPERLINK(CONCATENATE("http://crfop.gdos.gov.pl/CRFOP/widok/viewuzytekekologiczny.jsf?fop=","PL.ZIPOP.1393.UE.1010072.299"),"(kliknij lub Ctrl+kliknij)")</f>
        <v>(kliknij lub Ctrl+kliknij)</v>
      </c>
      <c r="H2498" s="0" t="s">
        <v>764</v>
      </c>
    </row>
    <row r="2499" customFormat="false" ht="12.8" hidden="false" customHeight="false" outlineLevel="0" collapsed="false">
      <c r="A2499" s="1" t="s">
        <v>1192</v>
      </c>
      <c r="C2499" s="3" t="s">
        <v>591</v>
      </c>
      <c r="D2499" s="4" t="s">
        <v>1410</v>
      </c>
      <c r="F2499" s="6" t="s">
        <v>1315</v>
      </c>
      <c r="G2499" s="7" t="str">
        <f aca="false">HYPERLINK(CONCATENATE("http://crfop.gdos.gov.pl/CRFOP/widok/viewuzytekekologiczny.jsf?fop=","PL.ZIPOP.1393.UE.1010072.300"),"(kliknij lub Ctrl+kliknij)")</f>
        <v>(kliknij lub Ctrl+kliknij)</v>
      </c>
      <c r="H2499" s="0" t="s">
        <v>764</v>
      </c>
    </row>
    <row r="2500" customFormat="false" ht="12.8" hidden="false" customHeight="false" outlineLevel="0" collapsed="false">
      <c r="A2500" s="1" t="s">
        <v>1192</v>
      </c>
      <c r="C2500" s="3" t="s">
        <v>591</v>
      </c>
      <c r="D2500" s="4" t="s">
        <v>1421</v>
      </c>
      <c r="F2500" s="6" t="s">
        <v>1195</v>
      </c>
      <c r="G2500" s="7" t="str">
        <f aca="false">HYPERLINK(CONCATENATE("http://crfop.gdos.gov.pl/CRFOP/widok/viewuzytekekologiczny.jsf?fop=","PL.ZIPOP.1393.UE.1010072.301"),"(kliknij lub Ctrl+kliknij)")</f>
        <v>(kliknij lub Ctrl+kliknij)</v>
      </c>
      <c r="H2500" s="0" t="s">
        <v>764</v>
      </c>
    </row>
    <row r="2501" customFormat="false" ht="12.8" hidden="false" customHeight="false" outlineLevel="0" collapsed="false">
      <c r="A2501" s="1" t="s">
        <v>1192</v>
      </c>
      <c r="C2501" s="3" t="s">
        <v>591</v>
      </c>
      <c r="D2501" s="4" t="s">
        <v>1212</v>
      </c>
      <c r="F2501" s="6" t="s">
        <v>1315</v>
      </c>
      <c r="G2501" s="7" t="str">
        <f aca="false">HYPERLINK(CONCATENATE("http://crfop.gdos.gov.pl/CRFOP/widok/viewuzytekekologiczny.jsf?fop=","PL.ZIPOP.1393.UE.1010072.302"),"(kliknij lub Ctrl+kliknij)")</f>
        <v>(kliknij lub Ctrl+kliknij)</v>
      </c>
      <c r="H2501" s="0" t="s">
        <v>764</v>
      </c>
    </row>
    <row r="2502" customFormat="false" ht="12.8" hidden="false" customHeight="false" outlineLevel="0" collapsed="false">
      <c r="A2502" s="1" t="s">
        <v>1192</v>
      </c>
      <c r="C2502" s="3" t="s">
        <v>591</v>
      </c>
      <c r="D2502" s="4" t="s">
        <v>1248</v>
      </c>
      <c r="F2502" s="6" t="s">
        <v>1315</v>
      </c>
      <c r="G2502" s="7" t="str">
        <f aca="false">HYPERLINK(CONCATENATE("http://crfop.gdos.gov.pl/CRFOP/widok/viewuzytekekologiczny.jsf?fop=","PL.ZIPOP.1393.UE.1010072.303"),"(kliknij lub Ctrl+kliknij)")</f>
        <v>(kliknij lub Ctrl+kliknij)</v>
      </c>
      <c r="H2502" s="0" t="s">
        <v>764</v>
      </c>
    </row>
    <row r="2503" customFormat="false" ht="12.8" hidden="false" customHeight="false" outlineLevel="0" collapsed="false">
      <c r="A2503" s="1" t="s">
        <v>1192</v>
      </c>
      <c r="C2503" s="3" t="s">
        <v>591</v>
      </c>
      <c r="D2503" s="4" t="s">
        <v>1248</v>
      </c>
      <c r="F2503" s="6" t="s">
        <v>1315</v>
      </c>
      <c r="G2503" s="7" t="str">
        <f aca="false">HYPERLINK(CONCATENATE("http://crfop.gdos.gov.pl/CRFOP/widok/viewuzytekekologiczny.jsf?fop=","PL.ZIPOP.1393.UE.1010072.304"),"(kliknij lub Ctrl+kliknij)")</f>
        <v>(kliknij lub Ctrl+kliknij)</v>
      </c>
      <c r="H2503" s="0" t="s">
        <v>764</v>
      </c>
    </row>
    <row r="2504" customFormat="false" ht="12.8" hidden="false" customHeight="false" outlineLevel="0" collapsed="false">
      <c r="A2504" s="1" t="s">
        <v>1192</v>
      </c>
      <c r="C2504" s="3" t="s">
        <v>591</v>
      </c>
      <c r="D2504" s="4" t="s">
        <v>1415</v>
      </c>
      <c r="F2504" s="6" t="s">
        <v>1315</v>
      </c>
      <c r="G2504" s="7" t="str">
        <f aca="false">HYPERLINK(CONCATENATE("http://crfop.gdos.gov.pl/CRFOP/widok/viewuzytekekologiczny.jsf?fop=","PL.ZIPOP.1393.UE.1010072.305"),"(kliknij lub Ctrl+kliknij)")</f>
        <v>(kliknij lub Ctrl+kliknij)</v>
      </c>
      <c r="H2504" s="0" t="s">
        <v>764</v>
      </c>
    </row>
    <row r="2505" customFormat="false" ht="12.8" hidden="false" customHeight="false" outlineLevel="0" collapsed="false">
      <c r="A2505" s="1" t="s">
        <v>1192</v>
      </c>
      <c r="C2505" s="3" t="s">
        <v>591</v>
      </c>
      <c r="D2505" s="4" t="s">
        <v>1247</v>
      </c>
      <c r="F2505" s="6" t="s">
        <v>1315</v>
      </c>
      <c r="G2505" s="7" t="str">
        <f aca="false">HYPERLINK(CONCATENATE("http://crfop.gdos.gov.pl/CRFOP/widok/viewuzytekekologiczny.jsf?fop=","PL.ZIPOP.1393.UE.1010072.306"),"(kliknij lub Ctrl+kliknij)")</f>
        <v>(kliknij lub Ctrl+kliknij)</v>
      </c>
      <c r="H2505" s="0" t="s">
        <v>764</v>
      </c>
    </row>
    <row r="2506" customFormat="false" ht="12.8" hidden="false" customHeight="false" outlineLevel="0" collapsed="false">
      <c r="A2506" s="1" t="s">
        <v>1192</v>
      </c>
      <c r="C2506" s="3" t="s">
        <v>591</v>
      </c>
      <c r="D2506" s="4" t="s">
        <v>1247</v>
      </c>
      <c r="F2506" s="6" t="s">
        <v>1315</v>
      </c>
      <c r="G2506" s="7" t="str">
        <f aca="false">HYPERLINK(CONCATENATE("http://crfop.gdos.gov.pl/CRFOP/widok/viewuzytekekologiczny.jsf?fop=","PL.ZIPOP.1393.UE.1010072.307"),"(kliknij lub Ctrl+kliknij)")</f>
        <v>(kliknij lub Ctrl+kliknij)</v>
      </c>
      <c r="H2506" s="0" t="s">
        <v>764</v>
      </c>
    </row>
    <row r="2507" customFormat="false" ht="12.8" hidden="false" customHeight="false" outlineLevel="0" collapsed="false">
      <c r="A2507" s="1" t="s">
        <v>1192</v>
      </c>
      <c r="C2507" s="3" t="s">
        <v>591</v>
      </c>
      <c r="D2507" s="4" t="s">
        <v>1247</v>
      </c>
      <c r="F2507" s="6" t="s">
        <v>1315</v>
      </c>
      <c r="G2507" s="7" t="str">
        <f aca="false">HYPERLINK(CONCATENATE("http://crfop.gdos.gov.pl/CRFOP/widok/viewuzytekekologiczny.jsf?fop=","PL.ZIPOP.1393.UE.1010072.308"),"(kliknij lub Ctrl+kliknij)")</f>
        <v>(kliknij lub Ctrl+kliknij)</v>
      </c>
      <c r="H2507" s="0" t="s">
        <v>764</v>
      </c>
    </row>
    <row r="2508" customFormat="false" ht="12.8" hidden="false" customHeight="false" outlineLevel="0" collapsed="false">
      <c r="A2508" s="1" t="s">
        <v>1192</v>
      </c>
      <c r="C2508" s="3" t="s">
        <v>591</v>
      </c>
      <c r="D2508" s="4" t="s">
        <v>1410</v>
      </c>
      <c r="F2508" s="6" t="s">
        <v>1315</v>
      </c>
      <c r="G2508" s="7" t="str">
        <f aca="false">HYPERLINK(CONCATENATE("http://crfop.gdos.gov.pl/CRFOP/widok/viewuzytekekologiczny.jsf?fop=","PL.ZIPOP.1393.UE.1010072.309"),"(kliknij lub Ctrl+kliknij)")</f>
        <v>(kliknij lub Ctrl+kliknij)</v>
      </c>
      <c r="H2508" s="0" t="s">
        <v>764</v>
      </c>
    </row>
    <row r="2509" customFormat="false" ht="12.8" hidden="false" customHeight="false" outlineLevel="0" collapsed="false">
      <c r="A2509" s="1" t="s">
        <v>1192</v>
      </c>
      <c r="C2509" s="3" t="s">
        <v>591</v>
      </c>
      <c r="D2509" s="4" t="s">
        <v>1247</v>
      </c>
      <c r="F2509" s="6" t="s">
        <v>1315</v>
      </c>
      <c r="G2509" s="7" t="str">
        <f aca="false">HYPERLINK(CONCATENATE("http://crfop.gdos.gov.pl/CRFOP/widok/viewuzytekekologiczny.jsf?fop=","PL.ZIPOP.1393.UE.1010072.310"),"(kliknij lub Ctrl+kliknij)")</f>
        <v>(kliknij lub Ctrl+kliknij)</v>
      </c>
      <c r="H2509" s="0" t="s">
        <v>764</v>
      </c>
    </row>
    <row r="2510" customFormat="false" ht="12.8" hidden="false" customHeight="false" outlineLevel="0" collapsed="false">
      <c r="A2510" s="1" t="s">
        <v>1192</v>
      </c>
      <c r="C2510" s="3" t="s">
        <v>591</v>
      </c>
      <c r="D2510" s="4" t="s">
        <v>1237</v>
      </c>
      <c r="F2510" s="6" t="s">
        <v>1315</v>
      </c>
      <c r="G2510" s="7" t="str">
        <f aca="false">HYPERLINK(CONCATENATE("http://crfop.gdos.gov.pl/CRFOP/widok/viewuzytekekologiczny.jsf?fop=","PL.ZIPOP.1393.UE.1010072.311"),"(kliknij lub Ctrl+kliknij)")</f>
        <v>(kliknij lub Ctrl+kliknij)</v>
      </c>
      <c r="H2510" s="0" t="s">
        <v>764</v>
      </c>
    </row>
    <row r="2511" customFormat="false" ht="12.8" hidden="false" customHeight="false" outlineLevel="0" collapsed="false">
      <c r="A2511" s="1" t="s">
        <v>1192</v>
      </c>
      <c r="C2511" s="3" t="s">
        <v>591</v>
      </c>
      <c r="D2511" s="4" t="s">
        <v>1413</v>
      </c>
      <c r="F2511" s="6" t="s">
        <v>1315</v>
      </c>
      <c r="G2511" s="7" t="str">
        <f aca="false">HYPERLINK(CONCATENATE("http://crfop.gdos.gov.pl/CRFOP/widok/viewuzytekekologiczny.jsf?fop=","PL.ZIPOP.1393.UE.1010072.312"),"(kliknij lub Ctrl+kliknij)")</f>
        <v>(kliknij lub Ctrl+kliknij)</v>
      </c>
      <c r="H2511" s="0" t="s">
        <v>764</v>
      </c>
    </row>
    <row r="2512" customFormat="false" ht="12.8" hidden="false" customHeight="false" outlineLevel="0" collapsed="false">
      <c r="A2512" s="1" t="s">
        <v>1192</v>
      </c>
      <c r="C2512" s="3" t="s">
        <v>591</v>
      </c>
      <c r="D2512" s="4" t="s">
        <v>1338</v>
      </c>
      <c r="F2512" s="6" t="s">
        <v>1315</v>
      </c>
      <c r="G2512" s="7" t="str">
        <f aca="false">HYPERLINK(CONCATENATE("http://crfop.gdos.gov.pl/CRFOP/widok/viewuzytekekologiczny.jsf?fop=","PL.ZIPOP.1393.UE.1010072.313"),"(kliknij lub Ctrl+kliknij)")</f>
        <v>(kliknij lub Ctrl+kliknij)</v>
      </c>
      <c r="H2512" s="0" t="s">
        <v>764</v>
      </c>
    </row>
    <row r="2513" customFormat="false" ht="12.8" hidden="false" customHeight="false" outlineLevel="0" collapsed="false">
      <c r="A2513" s="1" t="s">
        <v>1192</v>
      </c>
      <c r="C2513" s="3" t="s">
        <v>591</v>
      </c>
      <c r="D2513" s="4" t="s">
        <v>1256</v>
      </c>
      <c r="F2513" s="6" t="s">
        <v>1315</v>
      </c>
      <c r="G2513" s="7" t="str">
        <f aca="false">HYPERLINK(CONCATENATE("http://crfop.gdos.gov.pl/CRFOP/widok/viewuzytekekologiczny.jsf?fop=","PL.ZIPOP.1393.UE.1010072.314"),"(kliknij lub Ctrl+kliknij)")</f>
        <v>(kliknij lub Ctrl+kliknij)</v>
      </c>
      <c r="H2513" s="0" t="s">
        <v>764</v>
      </c>
    </row>
    <row r="2514" customFormat="false" ht="12.8" hidden="false" customHeight="false" outlineLevel="0" collapsed="false">
      <c r="A2514" s="1" t="s">
        <v>1192</v>
      </c>
      <c r="C2514" s="3" t="s">
        <v>591</v>
      </c>
      <c r="D2514" s="4" t="s">
        <v>1248</v>
      </c>
      <c r="F2514" s="6" t="s">
        <v>1315</v>
      </c>
      <c r="G2514" s="7" t="str">
        <f aca="false">HYPERLINK(CONCATENATE("http://crfop.gdos.gov.pl/CRFOP/widok/viewuzytekekologiczny.jsf?fop=","PL.ZIPOP.1393.UE.1010072.315"),"(kliknij lub Ctrl+kliknij)")</f>
        <v>(kliknij lub Ctrl+kliknij)</v>
      </c>
      <c r="H2514" s="0" t="s">
        <v>764</v>
      </c>
    </row>
    <row r="2515" customFormat="false" ht="12.8" hidden="false" customHeight="false" outlineLevel="0" collapsed="false">
      <c r="A2515" s="1" t="s">
        <v>1192</v>
      </c>
      <c r="C2515" s="3" t="s">
        <v>591</v>
      </c>
      <c r="D2515" s="4" t="s">
        <v>1337</v>
      </c>
      <c r="F2515" s="6" t="s">
        <v>1315</v>
      </c>
      <c r="G2515" s="7" t="str">
        <f aca="false">HYPERLINK(CONCATENATE("http://crfop.gdos.gov.pl/CRFOP/widok/viewuzytekekologiczny.jsf?fop=","PL.ZIPOP.1393.UE.1010072.316"),"(kliknij lub Ctrl+kliknij)")</f>
        <v>(kliknij lub Ctrl+kliknij)</v>
      </c>
      <c r="H2515" s="0" t="s">
        <v>764</v>
      </c>
    </row>
    <row r="2516" customFormat="false" ht="12.8" hidden="false" customHeight="false" outlineLevel="0" collapsed="false">
      <c r="A2516" s="1" t="s">
        <v>1192</v>
      </c>
      <c r="C2516" s="3" t="s">
        <v>591</v>
      </c>
      <c r="D2516" s="4" t="s">
        <v>1256</v>
      </c>
      <c r="F2516" s="6" t="s">
        <v>1315</v>
      </c>
      <c r="G2516" s="7" t="str">
        <f aca="false">HYPERLINK(CONCATENATE("http://crfop.gdos.gov.pl/CRFOP/widok/viewuzytekekologiczny.jsf?fop=","PL.ZIPOP.1393.UE.1010072.317"),"(kliknij lub Ctrl+kliknij)")</f>
        <v>(kliknij lub Ctrl+kliknij)</v>
      </c>
      <c r="H2516" s="0" t="s">
        <v>764</v>
      </c>
    </row>
    <row r="2517" customFormat="false" ht="12.8" hidden="false" customHeight="false" outlineLevel="0" collapsed="false">
      <c r="A2517" s="1" t="s">
        <v>1192</v>
      </c>
      <c r="C2517" s="3" t="s">
        <v>591</v>
      </c>
      <c r="D2517" s="4" t="s">
        <v>1340</v>
      </c>
      <c r="F2517" s="6" t="s">
        <v>1315</v>
      </c>
      <c r="G2517" s="7" t="str">
        <f aca="false">HYPERLINK(CONCATENATE("http://crfop.gdos.gov.pl/CRFOP/widok/viewuzytekekologiczny.jsf?fop=","PL.ZIPOP.1393.UE.1010072.318"),"(kliknij lub Ctrl+kliknij)")</f>
        <v>(kliknij lub Ctrl+kliknij)</v>
      </c>
      <c r="H2517" s="0" t="s">
        <v>764</v>
      </c>
    </row>
    <row r="2518" customFormat="false" ht="12.8" hidden="false" customHeight="false" outlineLevel="0" collapsed="false">
      <c r="A2518" s="1" t="s">
        <v>1192</v>
      </c>
      <c r="C2518" s="3" t="s">
        <v>591</v>
      </c>
      <c r="D2518" s="4" t="s">
        <v>1400</v>
      </c>
      <c r="F2518" s="6" t="s">
        <v>1315</v>
      </c>
      <c r="G2518" s="7" t="str">
        <f aca="false">HYPERLINK(CONCATENATE("http://crfop.gdos.gov.pl/CRFOP/widok/viewuzytekekologiczny.jsf?fop=","PL.ZIPOP.1393.UE.1010072.319"),"(kliknij lub Ctrl+kliknij)")</f>
        <v>(kliknij lub Ctrl+kliknij)</v>
      </c>
      <c r="H2518" s="0" t="s">
        <v>764</v>
      </c>
    </row>
    <row r="2519" customFormat="false" ht="12.8" hidden="false" customHeight="false" outlineLevel="0" collapsed="false">
      <c r="A2519" s="1" t="s">
        <v>1192</v>
      </c>
      <c r="C2519" s="3" t="s">
        <v>591</v>
      </c>
      <c r="D2519" s="4" t="s">
        <v>1247</v>
      </c>
      <c r="F2519" s="6" t="s">
        <v>1315</v>
      </c>
      <c r="G2519" s="7" t="str">
        <f aca="false">HYPERLINK(CONCATENATE("http://crfop.gdos.gov.pl/CRFOP/widok/viewuzytekekologiczny.jsf?fop=","PL.ZIPOP.1393.UE.1010072.320"),"(kliknij lub Ctrl+kliknij)")</f>
        <v>(kliknij lub Ctrl+kliknij)</v>
      </c>
      <c r="H2519" s="0" t="s">
        <v>764</v>
      </c>
    </row>
    <row r="2520" customFormat="false" ht="12.8" hidden="false" customHeight="false" outlineLevel="0" collapsed="false">
      <c r="A2520" s="1" t="s">
        <v>1192</v>
      </c>
      <c r="C2520" s="3" t="s">
        <v>591</v>
      </c>
      <c r="D2520" s="4" t="s">
        <v>1391</v>
      </c>
      <c r="F2520" s="6" t="s">
        <v>1315</v>
      </c>
      <c r="G2520" s="7" t="str">
        <f aca="false">HYPERLINK(CONCATENATE("http://crfop.gdos.gov.pl/CRFOP/widok/viewuzytekekologiczny.jsf?fop=","PL.ZIPOP.1393.UE.1010072.321"),"(kliknij lub Ctrl+kliknij)")</f>
        <v>(kliknij lub Ctrl+kliknij)</v>
      </c>
      <c r="H2520" s="0" t="s">
        <v>764</v>
      </c>
    </row>
    <row r="2521" customFormat="false" ht="12.8" hidden="false" customHeight="false" outlineLevel="0" collapsed="false">
      <c r="A2521" s="1" t="s">
        <v>1192</v>
      </c>
      <c r="C2521" s="3" t="s">
        <v>591</v>
      </c>
      <c r="D2521" s="4" t="s">
        <v>1256</v>
      </c>
      <c r="F2521" s="6" t="s">
        <v>1315</v>
      </c>
      <c r="G2521" s="7" t="str">
        <f aca="false">HYPERLINK(CONCATENATE("http://crfop.gdos.gov.pl/CRFOP/widok/viewuzytekekologiczny.jsf?fop=","PL.ZIPOP.1393.UE.1010072.322"),"(kliknij lub Ctrl+kliknij)")</f>
        <v>(kliknij lub Ctrl+kliknij)</v>
      </c>
      <c r="H2521" s="0" t="s">
        <v>764</v>
      </c>
    </row>
    <row r="2522" customFormat="false" ht="12.8" hidden="false" customHeight="false" outlineLevel="0" collapsed="false">
      <c r="A2522" s="1" t="s">
        <v>1192</v>
      </c>
      <c r="C2522" s="3" t="s">
        <v>574</v>
      </c>
      <c r="D2522" s="4" t="s">
        <v>1235</v>
      </c>
      <c r="F2522" s="6" t="s">
        <v>1198</v>
      </c>
      <c r="G2522" s="7" t="str">
        <f aca="false">HYPERLINK(CONCATENATE("http://crfop.gdos.gov.pl/CRFOP/widok/viewuzytekekologiczny.jsf?fop=","PL.ZIPOP.1393.UE.1010072.323"),"(kliknij lub Ctrl+kliknij)")</f>
        <v>(kliknij lub Ctrl+kliknij)</v>
      </c>
      <c r="H2522" s="0" t="s">
        <v>764</v>
      </c>
    </row>
    <row r="2523" customFormat="false" ht="12.8" hidden="false" customHeight="false" outlineLevel="0" collapsed="false">
      <c r="A2523" s="1" t="s">
        <v>1192</v>
      </c>
      <c r="C2523" s="3" t="s">
        <v>574</v>
      </c>
      <c r="D2523" s="4" t="s">
        <v>1422</v>
      </c>
      <c r="F2523" s="6" t="s">
        <v>1198</v>
      </c>
      <c r="G2523" s="7" t="str">
        <f aca="false">HYPERLINK(CONCATENATE("http://crfop.gdos.gov.pl/CRFOP/widok/viewuzytekekologiczny.jsf?fop=","PL.ZIPOP.1393.UE.1010072.326"),"(kliknij lub Ctrl+kliknij)")</f>
        <v>(kliknij lub Ctrl+kliknij)</v>
      </c>
      <c r="H2523" s="0" t="s">
        <v>764</v>
      </c>
    </row>
    <row r="2524" customFormat="false" ht="12.8" hidden="false" customHeight="false" outlineLevel="0" collapsed="false">
      <c r="A2524" s="1" t="s">
        <v>1192</v>
      </c>
      <c r="C2524" s="3" t="s">
        <v>574</v>
      </c>
      <c r="D2524" s="4" t="s">
        <v>1423</v>
      </c>
      <c r="F2524" s="6" t="s">
        <v>1198</v>
      </c>
      <c r="G2524" s="7" t="str">
        <f aca="false">HYPERLINK(CONCATENATE("http://crfop.gdos.gov.pl/CRFOP/widok/viewuzytekekologiczny.jsf?fop=","PL.ZIPOP.1393.UE.1010072.327"),"(kliknij lub Ctrl+kliknij)")</f>
        <v>(kliknij lub Ctrl+kliknij)</v>
      </c>
      <c r="H2524" s="0" t="s">
        <v>764</v>
      </c>
    </row>
    <row r="2525" customFormat="false" ht="12.8" hidden="false" customHeight="false" outlineLevel="0" collapsed="false">
      <c r="A2525" s="1" t="s">
        <v>1192</v>
      </c>
      <c r="C2525" s="3" t="s">
        <v>574</v>
      </c>
      <c r="D2525" s="4" t="s">
        <v>1424</v>
      </c>
      <c r="F2525" s="6" t="s">
        <v>1198</v>
      </c>
      <c r="G2525" s="7" t="str">
        <f aca="false">HYPERLINK(CONCATENATE("http://crfop.gdos.gov.pl/CRFOP/widok/viewuzytekekologiczny.jsf?fop=","PL.ZIPOP.1393.UE.1010072.328"),"(kliknij lub Ctrl+kliknij)")</f>
        <v>(kliknij lub Ctrl+kliknij)</v>
      </c>
      <c r="H2525" s="0" t="s">
        <v>764</v>
      </c>
    </row>
    <row r="2526" customFormat="false" ht="12.8" hidden="false" customHeight="false" outlineLevel="0" collapsed="false">
      <c r="A2526" s="1" t="s">
        <v>1192</v>
      </c>
      <c r="C2526" s="3" t="s">
        <v>574</v>
      </c>
      <c r="D2526" s="4" t="s">
        <v>1268</v>
      </c>
      <c r="F2526" s="6" t="s">
        <v>1198</v>
      </c>
      <c r="G2526" s="7" t="str">
        <f aca="false">HYPERLINK(CONCATENATE("http://crfop.gdos.gov.pl/CRFOP/widok/viewuzytekekologiczny.jsf?fop=","PL.ZIPOP.1393.UE.1010072.329"),"(kliknij lub Ctrl+kliknij)")</f>
        <v>(kliknij lub Ctrl+kliknij)</v>
      </c>
      <c r="H2526" s="0" t="s">
        <v>764</v>
      </c>
    </row>
    <row r="2527" customFormat="false" ht="12.8" hidden="false" customHeight="false" outlineLevel="0" collapsed="false">
      <c r="A2527" s="1" t="s">
        <v>1192</v>
      </c>
      <c r="C2527" s="3" t="s">
        <v>574</v>
      </c>
      <c r="D2527" s="4" t="s">
        <v>1220</v>
      </c>
      <c r="F2527" s="6" t="s">
        <v>1198</v>
      </c>
      <c r="G2527" s="7" t="str">
        <f aca="false">HYPERLINK(CONCATENATE("http://crfop.gdos.gov.pl/CRFOP/widok/viewuzytekekologiczny.jsf?fop=","PL.ZIPOP.1393.UE.1010072.330"),"(kliknij lub Ctrl+kliknij)")</f>
        <v>(kliknij lub Ctrl+kliknij)</v>
      </c>
      <c r="H2527" s="0" t="s">
        <v>764</v>
      </c>
    </row>
    <row r="2528" customFormat="false" ht="12.8" hidden="false" customHeight="false" outlineLevel="0" collapsed="false">
      <c r="A2528" s="1" t="s">
        <v>1192</v>
      </c>
      <c r="C2528" s="3" t="s">
        <v>574</v>
      </c>
      <c r="D2528" s="4" t="s">
        <v>1359</v>
      </c>
      <c r="F2528" s="6" t="s">
        <v>1198</v>
      </c>
      <c r="G2528" s="7" t="str">
        <f aca="false">HYPERLINK(CONCATENATE("http://crfop.gdos.gov.pl/CRFOP/widok/viewuzytekekologiczny.jsf?fop=","PL.ZIPOP.1393.UE.1010072.331"),"(kliknij lub Ctrl+kliknij)")</f>
        <v>(kliknij lub Ctrl+kliknij)</v>
      </c>
      <c r="H2528" s="0" t="s">
        <v>764</v>
      </c>
    </row>
    <row r="2529" customFormat="false" ht="12.8" hidden="false" customHeight="false" outlineLevel="0" collapsed="false">
      <c r="A2529" s="1" t="s">
        <v>1192</v>
      </c>
      <c r="C2529" s="3" t="s">
        <v>591</v>
      </c>
      <c r="D2529" s="4" t="s">
        <v>1424</v>
      </c>
      <c r="F2529" s="6" t="s">
        <v>1315</v>
      </c>
      <c r="G2529" s="7" t="str">
        <f aca="false">HYPERLINK(CONCATENATE("http://crfop.gdos.gov.pl/CRFOP/widok/viewuzytekekologiczny.jsf?fop=","PL.ZIPOP.1393.UE.1010072.34"),"(kliknij lub Ctrl+kliknij)")</f>
        <v>(kliknij lub Ctrl+kliknij)</v>
      </c>
      <c r="H2529" s="0" t="s">
        <v>764</v>
      </c>
    </row>
    <row r="2530" customFormat="false" ht="12.8" hidden="false" customHeight="false" outlineLevel="0" collapsed="false">
      <c r="A2530" s="1" t="s">
        <v>1192</v>
      </c>
      <c r="C2530" s="3" t="s">
        <v>591</v>
      </c>
      <c r="D2530" s="4" t="s">
        <v>1340</v>
      </c>
      <c r="F2530" s="6" t="s">
        <v>1315</v>
      </c>
      <c r="G2530" s="7" t="str">
        <f aca="false">HYPERLINK(CONCATENATE("http://crfop.gdos.gov.pl/CRFOP/widok/viewuzytekekologiczny.jsf?fop=","PL.ZIPOP.1393.UE.1010072.35"),"(kliknij lub Ctrl+kliknij)")</f>
        <v>(kliknij lub Ctrl+kliknij)</v>
      </c>
      <c r="H2530" s="0" t="s">
        <v>764</v>
      </c>
    </row>
    <row r="2531" customFormat="false" ht="12.8" hidden="false" customHeight="false" outlineLevel="0" collapsed="false">
      <c r="A2531" s="1" t="s">
        <v>1192</v>
      </c>
      <c r="C2531" s="3" t="s">
        <v>591</v>
      </c>
      <c r="D2531" s="4" t="s">
        <v>1212</v>
      </c>
      <c r="F2531" s="6" t="s">
        <v>1315</v>
      </c>
      <c r="G2531" s="7" t="str">
        <f aca="false">HYPERLINK(CONCATENATE("http://crfop.gdos.gov.pl/CRFOP/widok/viewuzytekekologiczny.jsf?fop=","PL.ZIPOP.1393.UE.1010072.36"),"(kliknij lub Ctrl+kliknij)")</f>
        <v>(kliknij lub Ctrl+kliknij)</v>
      </c>
      <c r="H2531" s="0" t="s">
        <v>764</v>
      </c>
    </row>
    <row r="2532" customFormat="false" ht="12.8" hidden="false" customHeight="false" outlineLevel="0" collapsed="false">
      <c r="A2532" s="1" t="s">
        <v>1192</v>
      </c>
      <c r="C2532" s="3" t="s">
        <v>574</v>
      </c>
      <c r="D2532" s="4" t="s">
        <v>1240</v>
      </c>
      <c r="F2532" s="6" t="s">
        <v>1198</v>
      </c>
      <c r="G2532" s="7" t="str">
        <f aca="false">HYPERLINK(CONCATENATE("http://crfop.gdos.gov.pl/CRFOP/widok/viewuzytekekologiczny.jsf?fop=","PL.ZIPOP.1393.UE.1010082.246"),"(kliknij lub Ctrl+kliknij)")</f>
        <v>(kliknij lub Ctrl+kliknij)</v>
      </c>
      <c r="H2532" s="0" t="s">
        <v>769</v>
      </c>
    </row>
    <row r="2533" customFormat="false" ht="12.8" hidden="false" customHeight="false" outlineLevel="0" collapsed="false">
      <c r="A2533" s="1" t="s">
        <v>1192</v>
      </c>
      <c r="C2533" s="3" t="s">
        <v>574</v>
      </c>
      <c r="D2533" s="4" t="s">
        <v>1356</v>
      </c>
      <c r="F2533" s="6" t="s">
        <v>1198</v>
      </c>
      <c r="G2533" s="7" t="str">
        <f aca="false">HYPERLINK(CONCATENATE("http://crfop.gdos.gov.pl/CRFOP/widok/viewuzytekekologiczny.jsf?fop=","PL.ZIPOP.1393.UE.1010082.247"),"(kliknij lub Ctrl+kliknij)")</f>
        <v>(kliknij lub Ctrl+kliknij)</v>
      </c>
      <c r="H2533" s="0" t="s">
        <v>769</v>
      </c>
    </row>
    <row r="2534" customFormat="false" ht="12.8" hidden="false" customHeight="false" outlineLevel="0" collapsed="false">
      <c r="A2534" s="1" t="s">
        <v>1192</v>
      </c>
      <c r="C2534" s="3" t="s">
        <v>574</v>
      </c>
      <c r="D2534" s="4" t="s">
        <v>1425</v>
      </c>
      <c r="F2534" s="6" t="s">
        <v>1198</v>
      </c>
      <c r="G2534" s="7" t="str">
        <f aca="false">HYPERLINK(CONCATENATE("http://crfop.gdos.gov.pl/CRFOP/widok/viewuzytekekologiczny.jsf?fop=","PL.ZIPOP.1393.UE.1010082.248"),"(kliknij lub Ctrl+kliknij)")</f>
        <v>(kliknij lub Ctrl+kliknij)</v>
      </c>
      <c r="H2534" s="0" t="s">
        <v>769</v>
      </c>
    </row>
    <row r="2535" customFormat="false" ht="12.8" hidden="false" customHeight="false" outlineLevel="0" collapsed="false">
      <c r="A2535" s="1" t="s">
        <v>1192</v>
      </c>
      <c r="C2535" s="3" t="s">
        <v>591</v>
      </c>
      <c r="D2535" s="4" t="s">
        <v>1318</v>
      </c>
      <c r="F2535" s="6" t="s">
        <v>1315</v>
      </c>
      <c r="G2535" s="7" t="str">
        <f aca="false">HYPERLINK(CONCATENATE("http://crfop.gdos.gov.pl/CRFOP/widok/viewuzytekekologiczny.jsf?fop=","PL.ZIPOP.1393.UE.1010082.332"),"(kliknij lub Ctrl+kliknij)")</f>
        <v>(kliknij lub Ctrl+kliknij)</v>
      </c>
      <c r="H2535" s="0" t="s">
        <v>769</v>
      </c>
    </row>
    <row r="2536" customFormat="false" ht="12.8" hidden="false" customHeight="false" outlineLevel="0" collapsed="false">
      <c r="A2536" s="1" t="s">
        <v>1192</v>
      </c>
      <c r="C2536" s="3" t="s">
        <v>591</v>
      </c>
      <c r="D2536" s="4" t="s">
        <v>1414</v>
      </c>
      <c r="F2536" s="6" t="s">
        <v>1315</v>
      </c>
      <c r="G2536" s="7" t="str">
        <f aca="false">HYPERLINK(CONCATENATE("http://crfop.gdos.gov.pl/CRFOP/widok/viewuzytekekologiczny.jsf?fop=","PL.ZIPOP.1393.UE.1010082.333"),"(kliknij lub Ctrl+kliknij)")</f>
        <v>(kliknij lub Ctrl+kliknij)</v>
      </c>
      <c r="H2536" s="0" t="s">
        <v>769</v>
      </c>
    </row>
    <row r="2537" customFormat="false" ht="12.8" hidden="false" customHeight="false" outlineLevel="0" collapsed="false">
      <c r="A2537" s="1" t="s">
        <v>1192</v>
      </c>
      <c r="C2537" s="3" t="s">
        <v>591</v>
      </c>
      <c r="D2537" s="4" t="s">
        <v>1252</v>
      </c>
      <c r="F2537" s="6" t="s">
        <v>1315</v>
      </c>
      <c r="G2537" s="7" t="str">
        <f aca="false">HYPERLINK(CONCATENATE("http://crfop.gdos.gov.pl/CRFOP/widok/viewuzytekekologiczny.jsf?fop=","PL.ZIPOP.1393.UE.1010082.334"),"(kliknij lub Ctrl+kliknij)")</f>
        <v>(kliknij lub Ctrl+kliknij)</v>
      </c>
      <c r="H2537" s="0" t="s">
        <v>769</v>
      </c>
    </row>
    <row r="2538" customFormat="false" ht="12.8" hidden="false" customHeight="false" outlineLevel="0" collapsed="false">
      <c r="A2538" s="1" t="s">
        <v>1192</v>
      </c>
      <c r="C2538" s="3" t="s">
        <v>591</v>
      </c>
      <c r="D2538" s="4" t="s">
        <v>1337</v>
      </c>
      <c r="F2538" s="6" t="s">
        <v>1315</v>
      </c>
      <c r="G2538" s="7" t="str">
        <f aca="false">HYPERLINK(CONCATENATE("http://crfop.gdos.gov.pl/CRFOP/widok/viewuzytekekologiczny.jsf?fop=","PL.ZIPOP.1393.UE.1010082.335"),"(kliknij lub Ctrl+kliknij)")</f>
        <v>(kliknij lub Ctrl+kliknij)</v>
      </c>
      <c r="H2538" s="0" t="s">
        <v>769</v>
      </c>
    </row>
    <row r="2539" customFormat="false" ht="12.8" hidden="false" customHeight="false" outlineLevel="0" collapsed="false">
      <c r="A2539" s="1" t="s">
        <v>1192</v>
      </c>
      <c r="C2539" s="3" t="s">
        <v>574</v>
      </c>
      <c r="D2539" s="4" t="s">
        <v>1235</v>
      </c>
      <c r="F2539" s="6" t="s">
        <v>1198</v>
      </c>
      <c r="G2539" s="7" t="str">
        <f aca="false">HYPERLINK(CONCATENATE("http://crfop.gdos.gov.pl/CRFOP/widok/viewuzytekekologiczny.jsf?fop=","PL.ZIPOP.1393.UE.1010082.336"),"(kliknij lub Ctrl+kliknij)")</f>
        <v>(kliknij lub Ctrl+kliknij)</v>
      </c>
      <c r="H2539" s="0" t="s">
        <v>769</v>
      </c>
    </row>
    <row r="2540" customFormat="false" ht="12.8" hidden="false" customHeight="false" outlineLevel="0" collapsed="false">
      <c r="A2540" s="1" t="s">
        <v>1192</v>
      </c>
      <c r="C2540" s="3" t="s">
        <v>574</v>
      </c>
      <c r="D2540" s="4" t="s">
        <v>1349</v>
      </c>
      <c r="F2540" s="6" t="s">
        <v>1198</v>
      </c>
      <c r="G2540" s="7" t="str">
        <f aca="false">HYPERLINK(CONCATENATE("http://crfop.gdos.gov.pl/CRFOP/widok/viewuzytekekologiczny.jsf?fop=","PL.ZIPOP.1393.UE.1010082.337"),"(kliknij lub Ctrl+kliknij)")</f>
        <v>(kliknij lub Ctrl+kliknij)</v>
      </c>
      <c r="H2540" s="0" t="s">
        <v>769</v>
      </c>
    </row>
    <row r="2541" customFormat="false" ht="12.8" hidden="false" customHeight="false" outlineLevel="0" collapsed="false">
      <c r="A2541" s="1" t="s">
        <v>1192</v>
      </c>
      <c r="C2541" s="3" t="s">
        <v>574</v>
      </c>
      <c r="D2541" s="4" t="s">
        <v>1426</v>
      </c>
      <c r="F2541" s="6" t="s">
        <v>1198</v>
      </c>
      <c r="G2541" s="7" t="str">
        <f aca="false">HYPERLINK(CONCATENATE("http://crfop.gdos.gov.pl/CRFOP/widok/viewuzytekekologiczny.jsf?fop=","PL.ZIPOP.1393.UE.1010082.338"),"(kliknij lub Ctrl+kliknij)")</f>
        <v>(kliknij lub Ctrl+kliknij)</v>
      </c>
      <c r="H2541" s="0" t="s">
        <v>769</v>
      </c>
    </row>
    <row r="2542" customFormat="false" ht="12.8" hidden="false" customHeight="false" outlineLevel="0" collapsed="false">
      <c r="A2542" s="1" t="s">
        <v>1192</v>
      </c>
      <c r="C2542" s="3" t="s">
        <v>574</v>
      </c>
      <c r="D2542" s="4" t="s">
        <v>1356</v>
      </c>
      <c r="F2542" s="6" t="s">
        <v>1198</v>
      </c>
      <c r="G2542" s="7" t="str">
        <f aca="false">HYPERLINK(CONCATENATE("http://crfop.gdos.gov.pl/CRFOP/widok/viewuzytekekologiczny.jsf?fop=","PL.ZIPOP.1393.UE.1010082.339"),"(kliknij lub Ctrl+kliknij)")</f>
        <v>(kliknij lub Ctrl+kliknij)</v>
      </c>
      <c r="H2542" s="0" t="s">
        <v>769</v>
      </c>
    </row>
    <row r="2543" customFormat="false" ht="12.8" hidden="false" customHeight="false" outlineLevel="0" collapsed="false">
      <c r="A2543" s="1" t="s">
        <v>1192</v>
      </c>
      <c r="C2543" s="3" t="s">
        <v>574</v>
      </c>
      <c r="D2543" s="4" t="s">
        <v>1201</v>
      </c>
      <c r="F2543" s="6" t="s">
        <v>1198</v>
      </c>
      <c r="G2543" s="7" t="str">
        <f aca="false">HYPERLINK(CONCATENATE("http://crfop.gdos.gov.pl/CRFOP/widok/viewuzytekekologiczny.jsf?fop=","PL.ZIPOP.1393.UE.1010082.340"),"(kliknij lub Ctrl+kliknij)")</f>
        <v>(kliknij lub Ctrl+kliknij)</v>
      </c>
      <c r="H2543" s="0" t="s">
        <v>769</v>
      </c>
    </row>
    <row r="2544" customFormat="false" ht="12.8" hidden="false" customHeight="false" outlineLevel="0" collapsed="false">
      <c r="A2544" s="1" t="s">
        <v>1192</v>
      </c>
      <c r="C2544" s="3" t="s">
        <v>574</v>
      </c>
      <c r="D2544" s="4" t="s">
        <v>1427</v>
      </c>
      <c r="F2544" s="6" t="s">
        <v>1198</v>
      </c>
      <c r="G2544" s="7" t="str">
        <f aca="false">HYPERLINK(CONCATENATE("http://crfop.gdos.gov.pl/CRFOP/widok/viewuzytekekologiczny.jsf?fop=","PL.ZIPOP.1393.UE.1010082.341"),"(kliknij lub Ctrl+kliknij)")</f>
        <v>(kliknij lub Ctrl+kliknij)</v>
      </c>
      <c r="H2544" s="0" t="s">
        <v>769</v>
      </c>
    </row>
    <row r="2545" customFormat="false" ht="12.8" hidden="false" customHeight="false" outlineLevel="0" collapsed="false">
      <c r="A2545" s="1" t="s">
        <v>1192</v>
      </c>
      <c r="C2545" s="3" t="s">
        <v>574</v>
      </c>
      <c r="D2545" s="4" t="s">
        <v>1428</v>
      </c>
      <c r="F2545" s="6" t="s">
        <v>1198</v>
      </c>
      <c r="G2545" s="7" t="str">
        <f aca="false">HYPERLINK(CONCATENATE("http://crfop.gdos.gov.pl/CRFOP/widok/viewuzytekekologiczny.jsf?fop=","PL.ZIPOP.1393.UE.1010082.342"),"(kliknij lub Ctrl+kliknij)")</f>
        <v>(kliknij lub Ctrl+kliknij)</v>
      </c>
      <c r="H2545" s="0" t="s">
        <v>769</v>
      </c>
    </row>
    <row r="2546" customFormat="false" ht="12.8" hidden="false" customHeight="false" outlineLevel="0" collapsed="false">
      <c r="A2546" s="1" t="s">
        <v>1192</v>
      </c>
      <c r="C2546" s="3" t="s">
        <v>574</v>
      </c>
      <c r="D2546" s="4" t="s">
        <v>1429</v>
      </c>
      <c r="F2546" s="6" t="s">
        <v>1198</v>
      </c>
      <c r="G2546" s="7" t="str">
        <f aca="false">HYPERLINK(CONCATENATE("http://crfop.gdos.gov.pl/CRFOP/widok/viewuzytekekologiczny.jsf?fop=","PL.ZIPOP.1393.UE.1010082.343"),"(kliknij lub Ctrl+kliknij)")</f>
        <v>(kliknij lub Ctrl+kliknij)</v>
      </c>
      <c r="H2546" s="0" t="s">
        <v>769</v>
      </c>
    </row>
    <row r="2547" customFormat="false" ht="12.8" hidden="false" customHeight="false" outlineLevel="0" collapsed="false">
      <c r="A2547" s="1" t="s">
        <v>1192</v>
      </c>
      <c r="C2547" s="3" t="s">
        <v>574</v>
      </c>
      <c r="D2547" s="4" t="s">
        <v>1430</v>
      </c>
      <c r="F2547" s="6" t="s">
        <v>1198</v>
      </c>
      <c r="G2547" s="7" t="str">
        <f aca="false">HYPERLINK(CONCATENATE("http://crfop.gdos.gov.pl/CRFOP/widok/viewuzytekekologiczny.jsf?fop=","PL.ZIPOP.1393.UE.1010082.344"),"(kliknij lub Ctrl+kliknij)")</f>
        <v>(kliknij lub Ctrl+kliknij)</v>
      </c>
      <c r="H2547" s="0" t="s">
        <v>769</v>
      </c>
    </row>
    <row r="2548" customFormat="false" ht="12.8" hidden="false" customHeight="false" outlineLevel="0" collapsed="false">
      <c r="A2548" s="1" t="s">
        <v>1192</v>
      </c>
      <c r="C2548" s="3" t="s">
        <v>574</v>
      </c>
      <c r="D2548" s="4" t="s">
        <v>1431</v>
      </c>
      <c r="F2548" s="6" t="s">
        <v>1198</v>
      </c>
      <c r="G2548" s="7" t="str">
        <f aca="false">HYPERLINK(CONCATENATE("http://crfop.gdos.gov.pl/CRFOP/widok/viewuzytekekologiczny.jsf?fop=","PL.ZIPOP.1393.UE.1010082.345"),"(kliknij lub Ctrl+kliknij)")</f>
        <v>(kliknij lub Ctrl+kliknij)</v>
      </c>
      <c r="H2548" s="0" t="s">
        <v>769</v>
      </c>
    </row>
    <row r="2549" customFormat="false" ht="12.8" hidden="false" customHeight="false" outlineLevel="0" collapsed="false">
      <c r="A2549" s="1" t="s">
        <v>1192</v>
      </c>
      <c r="C2549" s="3" t="s">
        <v>574</v>
      </c>
      <c r="D2549" s="4" t="s">
        <v>1293</v>
      </c>
      <c r="F2549" s="6" t="s">
        <v>1198</v>
      </c>
      <c r="G2549" s="7" t="str">
        <f aca="false">HYPERLINK(CONCATENATE("http://crfop.gdos.gov.pl/CRFOP/widok/viewuzytekekologiczny.jsf?fop=","PL.ZIPOP.1393.UE.1010082.346"),"(kliknij lub Ctrl+kliknij)")</f>
        <v>(kliknij lub Ctrl+kliknij)</v>
      </c>
      <c r="H2549" s="0" t="s">
        <v>769</v>
      </c>
    </row>
    <row r="2550" customFormat="false" ht="12.8" hidden="false" customHeight="false" outlineLevel="0" collapsed="false">
      <c r="A2550" s="1" t="s">
        <v>1192</v>
      </c>
      <c r="C2550" s="3" t="s">
        <v>1193</v>
      </c>
      <c r="D2550" s="4" t="s">
        <v>1432</v>
      </c>
      <c r="F2550" s="6" t="s">
        <v>1195</v>
      </c>
      <c r="G2550" s="7" t="str">
        <f aca="false">HYPERLINK(CONCATENATE("http://crfop.gdos.gov.pl/CRFOP/widok/viewuzytekekologiczny.jsf?fop=","PL.ZIPOP.1393.UE.1010082.347"),"(kliknij lub Ctrl+kliknij)")</f>
        <v>(kliknij lub Ctrl+kliknij)</v>
      </c>
      <c r="H2550" s="0" t="s">
        <v>769</v>
      </c>
    </row>
    <row r="2551" customFormat="false" ht="12.8" hidden="false" customHeight="false" outlineLevel="0" collapsed="false">
      <c r="A2551" s="1" t="s">
        <v>1192</v>
      </c>
      <c r="C2551" s="3" t="s">
        <v>574</v>
      </c>
      <c r="D2551" s="4" t="s">
        <v>1389</v>
      </c>
      <c r="F2551" s="6" t="s">
        <v>1198</v>
      </c>
      <c r="G2551" s="7" t="str">
        <f aca="false">HYPERLINK(CONCATENATE("http://crfop.gdos.gov.pl/CRFOP/widok/viewuzytekekologiczny.jsf?fop=","PL.ZIPOP.1393.UE.1010082.348"),"(kliknij lub Ctrl+kliknij)")</f>
        <v>(kliknij lub Ctrl+kliknij)</v>
      </c>
      <c r="H2551" s="0" t="s">
        <v>769</v>
      </c>
    </row>
    <row r="2552" customFormat="false" ht="12.8" hidden="false" customHeight="false" outlineLevel="0" collapsed="false">
      <c r="A2552" s="1" t="s">
        <v>1192</v>
      </c>
      <c r="C2552" s="3" t="s">
        <v>574</v>
      </c>
      <c r="D2552" s="4" t="s">
        <v>1207</v>
      </c>
      <c r="F2552" s="6" t="s">
        <v>1198</v>
      </c>
      <c r="G2552" s="7" t="str">
        <f aca="false">HYPERLINK(CONCATENATE("http://crfop.gdos.gov.pl/CRFOP/widok/viewuzytekekologiczny.jsf?fop=","PL.ZIPOP.1393.UE.1010082.349"),"(kliknij lub Ctrl+kliknij)")</f>
        <v>(kliknij lub Ctrl+kliknij)</v>
      </c>
      <c r="H2552" s="0" t="s">
        <v>769</v>
      </c>
    </row>
    <row r="2553" customFormat="false" ht="12.8" hidden="false" customHeight="false" outlineLevel="0" collapsed="false">
      <c r="A2553" s="1" t="s">
        <v>1192</v>
      </c>
      <c r="C2553" s="3" t="s">
        <v>574</v>
      </c>
      <c r="D2553" s="4" t="s">
        <v>1302</v>
      </c>
      <c r="F2553" s="6" t="s">
        <v>1198</v>
      </c>
      <c r="G2553" s="7" t="str">
        <f aca="false">HYPERLINK(CONCATENATE("http://crfop.gdos.gov.pl/CRFOP/widok/viewuzytekekologiczny.jsf?fop=","PL.ZIPOP.1393.UE.1010082.350"),"(kliknij lub Ctrl+kliknij)")</f>
        <v>(kliknij lub Ctrl+kliknij)</v>
      </c>
      <c r="H2553" s="0" t="s">
        <v>769</v>
      </c>
    </row>
    <row r="2554" customFormat="false" ht="12.8" hidden="false" customHeight="false" outlineLevel="0" collapsed="false">
      <c r="A2554" s="1" t="s">
        <v>1192</v>
      </c>
      <c r="C2554" s="3" t="s">
        <v>574</v>
      </c>
      <c r="D2554" s="4" t="s">
        <v>1212</v>
      </c>
      <c r="F2554" s="6" t="s">
        <v>1198</v>
      </c>
      <c r="G2554" s="7" t="str">
        <f aca="false">HYPERLINK(CONCATENATE("http://crfop.gdos.gov.pl/CRFOP/widok/viewuzytekekologiczny.jsf?fop=","PL.ZIPOP.1393.UE.1010082.351"),"(kliknij lub Ctrl+kliknij)")</f>
        <v>(kliknij lub Ctrl+kliknij)</v>
      </c>
      <c r="H2554" s="0" t="s">
        <v>769</v>
      </c>
    </row>
    <row r="2555" customFormat="false" ht="12.8" hidden="false" customHeight="false" outlineLevel="0" collapsed="false">
      <c r="A2555" s="1" t="s">
        <v>1192</v>
      </c>
      <c r="C2555" s="3" t="s">
        <v>574</v>
      </c>
      <c r="D2555" s="4" t="s">
        <v>1252</v>
      </c>
      <c r="F2555" s="6" t="s">
        <v>1198</v>
      </c>
      <c r="G2555" s="7" t="str">
        <f aca="false">HYPERLINK(CONCATENATE("http://crfop.gdos.gov.pl/CRFOP/widok/viewuzytekekologiczny.jsf?fop=","PL.ZIPOP.1393.UE.1010082.352"),"(kliknij lub Ctrl+kliknij)")</f>
        <v>(kliknij lub Ctrl+kliknij)</v>
      </c>
      <c r="H2555" s="0" t="s">
        <v>769</v>
      </c>
    </row>
    <row r="2556" customFormat="false" ht="12.8" hidden="false" customHeight="false" outlineLevel="0" collapsed="false">
      <c r="A2556" s="1" t="s">
        <v>1192</v>
      </c>
      <c r="C2556" s="3" t="s">
        <v>574</v>
      </c>
      <c r="D2556" s="4" t="s">
        <v>1213</v>
      </c>
      <c r="F2556" s="6" t="s">
        <v>1198</v>
      </c>
      <c r="G2556" s="7" t="str">
        <f aca="false">HYPERLINK(CONCATENATE("http://crfop.gdos.gov.pl/CRFOP/widok/viewuzytekekologiczny.jsf?fop=","PL.ZIPOP.1393.UE.1010082.353"),"(kliknij lub Ctrl+kliknij)")</f>
        <v>(kliknij lub Ctrl+kliknij)</v>
      </c>
      <c r="H2556" s="0" t="s">
        <v>769</v>
      </c>
    </row>
    <row r="2557" customFormat="false" ht="12.8" hidden="false" customHeight="false" outlineLevel="0" collapsed="false">
      <c r="A2557" s="1" t="s">
        <v>1192</v>
      </c>
      <c r="C2557" s="3" t="s">
        <v>574</v>
      </c>
      <c r="D2557" s="4" t="s">
        <v>1214</v>
      </c>
      <c r="F2557" s="6" t="s">
        <v>1198</v>
      </c>
      <c r="G2557" s="7" t="str">
        <f aca="false">HYPERLINK(CONCATENATE("http://crfop.gdos.gov.pl/CRFOP/widok/viewuzytekekologiczny.jsf?fop=","PL.ZIPOP.1393.UE.1010082.354"),"(kliknij lub Ctrl+kliknij)")</f>
        <v>(kliknij lub Ctrl+kliknij)</v>
      </c>
      <c r="H2557" s="0" t="s">
        <v>769</v>
      </c>
    </row>
    <row r="2558" customFormat="false" ht="12.8" hidden="false" customHeight="false" outlineLevel="0" collapsed="false">
      <c r="A2558" s="1" t="s">
        <v>1192</v>
      </c>
      <c r="C2558" s="3" t="s">
        <v>574</v>
      </c>
      <c r="D2558" s="4" t="s">
        <v>1340</v>
      </c>
      <c r="F2558" s="6" t="s">
        <v>1198</v>
      </c>
      <c r="G2558" s="7" t="str">
        <f aca="false">HYPERLINK(CONCATENATE("http://crfop.gdos.gov.pl/CRFOP/widok/viewuzytekekologiczny.jsf?fop=","PL.ZIPOP.1393.UE.1010082.355"),"(kliknij lub Ctrl+kliknij)")</f>
        <v>(kliknij lub Ctrl+kliknij)</v>
      </c>
      <c r="H2558" s="0" t="s">
        <v>769</v>
      </c>
    </row>
    <row r="2559" customFormat="false" ht="12.8" hidden="false" customHeight="false" outlineLevel="0" collapsed="false">
      <c r="A2559" s="1" t="s">
        <v>1192</v>
      </c>
      <c r="C2559" s="3" t="s">
        <v>574</v>
      </c>
      <c r="D2559" s="4" t="s">
        <v>1433</v>
      </c>
      <c r="F2559" s="6" t="s">
        <v>1198</v>
      </c>
      <c r="G2559" s="7" t="str">
        <f aca="false">HYPERLINK(CONCATENATE("http://crfop.gdos.gov.pl/CRFOP/widok/viewuzytekekologiczny.jsf?fop=","PL.ZIPOP.1393.UE.1010082.356"),"(kliknij lub Ctrl+kliknij)")</f>
        <v>(kliknij lub Ctrl+kliknij)</v>
      </c>
      <c r="H2559" s="0" t="s">
        <v>769</v>
      </c>
    </row>
    <row r="2560" customFormat="false" ht="12.8" hidden="false" customHeight="false" outlineLevel="0" collapsed="false">
      <c r="A2560" s="1" t="s">
        <v>1192</v>
      </c>
      <c r="C2560" s="3" t="s">
        <v>574</v>
      </c>
      <c r="D2560" s="4" t="s">
        <v>1246</v>
      </c>
      <c r="F2560" s="6" t="s">
        <v>1198</v>
      </c>
      <c r="G2560" s="7" t="str">
        <f aca="false">HYPERLINK(CONCATENATE("http://crfop.gdos.gov.pl/CRFOP/widok/viewuzytekekologiczny.jsf?fop=","PL.ZIPOP.1393.UE.1010082.357"),"(kliknij lub Ctrl+kliknij)")</f>
        <v>(kliknij lub Ctrl+kliknij)</v>
      </c>
      <c r="H2560" s="0" t="s">
        <v>769</v>
      </c>
    </row>
    <row r="2561" customFormat="false" ht="12.8" hidden="false" customHeight="false" outlineLevel="0" collapsed="false">
      <c r="A2561" s="1" t="s">
        <v>1192</v>
      </c>
      <c r="C2561" s="3" t="s">
        <v>574</v>
      </c>
      <c r="D2561" s="4" t="s">
        <v>1211</v>
      </c>
      <c r="F2561" s="6" t="s">
        <v>1198</v>
      </c>
      <c r="G2561" s="7" t="str">
        <f aca="false">HYPERLINK(CONCATENATE("http://crfop.gdos.gov.pl/CRFOP/widok/viewuzytekekologiczny.jsf?fop=","PL.ZIPOP.1393.UE.1010082.358"),"(kliknij lub Ctrl+kliknij)")</f>
        <v>(kliknij lub Ctrl+kliknij)</v>
      </c>
      <c r="H2561" s="0" t="s">
        <v>769</v>
      </c>
    </row>
    <row r="2562" customFormat="false" ht="12.8" hidden="false" customHeight="false" outlineLevel="0" collapsed="false">
      <c r="A2562" s="1" t="s">
        <v>1192</v>
      </c>
      <c r="C2562" s="3" t="s">
        <v>574</v>
      </c>
      <c r="D2562" s="4" t="s">
        <v>1239</v>
      </c>
      <c r="F2562" s="6" t="s">
        <v>1198</v>
      </c>
      <c r="G2562" s="7" t="str">
        <f aca="false">HYPERLINK(CONCATENATE("http://crfop.gdos.gov.pl/CRFOP/widok/viewuzytekekologiczny.jsf?fop=","PL.ZIPOP.1393.UE.1010082.359"),"(kliknij lub Ctrl+kliknij)")</f>
        <v>(kliknij lub Ctrl+kliknij)</v>
      </c>
      <c r="H2562" s="0" t="s">
        <v>769</v>
      </c>
    </row>
    <row r="2563" customFormat="false" ht="12.8" hidden="false" customHeight="false" outlineLevel="0" collapsed="false">
      <c r="A2563" s="1" t="s">
        <v>1192</v>
      </c>
      <c r="C2563" s="3" t="s">
        <v>574</v>
      </c>
      <c r="D2563" s="4" t="s">
        <v>1340</v>
      </c>
      <c r="F2563" s="6" t="s">
        <v>1198</v>
      </c>
      <c r="G2563" s="7" t="str">
        <f aca="false">HYPERLINK(CONCATENATE("http://crfop.gdos.gov.pl/CRFOP/widok/viewuzytekekologiczny.jsf?fop=","PL.ZIPOP.1393.UE.1010082.360"),"(kliknij lub Ctrl+kliknij)")</f>
        <v>(kliknij lub Ctrl+kliknij)</v>
      </c>
      <c r="H2563" s="0" t="s">
        <v>769</v>
      </c>
    </row>
    <row r="2564" customFormat="false" ht="12.8" hidden="false" customHeight="false" outlineLevel="0" collapsed="false">
      <c r="A2564" s="1" t="s">
        <v>1192</v>
      </c>
      <c r="C2564" s="3" t="s">
        <v>574</v>
      </c>
      <c r="D2564" s="4" t="s">
        <v>1364</v>
      </c>
      <c r="F2564" s="6" t="s">
        <v>1198</v>
      </c>
      <c r="G2564" s="7" t="str">
        <f aca="false">HYPERLINK(CONCATENATE("http://crfop.gdos.gov.pl/CRFOP/widok/viewuzytekekologiczny.jsf?fop=","PL.ZIPOP.1393.UE.1010082.542"),"(kliknij lub Ctrl+kliknij)")</f>
        <v>(kliknij lub Ctrl+kliknij)</v>
      </c>
      <c r="H2564" s="0" t="s">
        <v>769</v>
      </c>
    </row>
    <row r="2565" customFormat="false" ht="12.8" hidden="false" customHeight="false" outlineLevel="0" collapsed="false">
      <c r="A2565" s="1" t="s">
        <v>1192</v>
      </c>
      <c r="C2565" s="3" t="s">
        <v>591</v>
      </c>
      <c r="D2565" s="4" t="s">
        <v>1252</v>
      </c>
      <c r="F2565" s="6" t="s">
        <v>1315</v>
      </c>
      <c r="G2565" s="7" t="str">
        <f aca="false">HYPERLINK(CONCATENATE("http://crfop.gdos.gov.pl/CRFOP/widok/viewuzytekekologiczny.jsf?fop=","PL.ZIPOP.1393.UE.1010082.885"),"(kliknij lub Ctrl+kliknij)")</f>
        <v>(kliknij lub Ctrl+kliknij)</v>
      </c>
      <c r="H2565" s="0" t="s">
        <v>769</v>
      </c>
    </row>
    <row r="2566" customFormat="false" ht="12.8" hidden="false" customHeight="false" outlineLevel="0" collapsed="false">
      <c r="A2566" s="1" t="s">
        <v>1192</v>
      </c>
      <c r="C2566" s="3" t="s">
        <v>591</v>
      </c>
      <c r="D2566" s="4" t="s">
        <v>1225</v>
      </c>
      <c r="F2566" s="6" t="s">
        <v>1315</v>
      </c>
      <c r="G2566" s="7" t="str">
        <f aca="false">HYPERLINK(CONCATENATE("http://crfop.gdos.gov.pl/CRFOP/widok/viewuzytekekologiczny.jsf?fop=","PL.ZIPOP.1393.UE.1010093.15"),"(kliknij lub Ctrl+kliknij)")</f>
        <v>(kliknij lub Ctrl+kliknij)</v>
      </c>
      <c r="H2566" s="0" t="s">
        <v>772</v>
      </c>
    </row>
    <row r="2567" customFormat="false" ht="12.8" hidden="false" customHeight="false" outlineLevel="0" collapsed="false">
      <c r="A2567" s="1" t="s">
        <v>1192</v>
      </c>
      <c r="C2567" s="3" t="s">
        <v>574</v>
      </c>
      <c r="D2567" s="4" t="s">
        <v>1232</v>
      </c>
      <c r="F2567" s="6" t="s">
        <v>1198</v>
      </c>
      <c r="G2567" s="7" t="str">
        <f aca="false">HYPERLINK(CONCATENATE("http://crfop.gdos.gov.pl/CRFOP/widok/viewuzytekekologiczny.jsf?fop=","PL.ZIPOP.1393.UE.1010093.290"),"(kliknij lub Ctrl+kliknij)")</f>
        <v>(kliknij lub Ctrl+kliknij)</v>
      </c>
      <c r="H2567" s="0" t="s">
        <v>772</v>
      </c>
    </row>
    <row r="2568" customFormat="false" ht="12.8" hidden="false" customHeight="false" outlineLevel="0" collapsed="false">
      <c r="A2568" s="1" t="s">
        <v>1192</v>
      </c>
      <c r="C2568" s="3" t="s">
        <v>591</v>
      </c>
      <c r="D2568" s="4" t="s">
        <v>1349</v>
      </c>
      <c r="F2568" s="6" t="s">
        <v>1315</v>
      </c>
      <c r="G2568" s="7" t="str">
        <f aca="false">HYPERLINK(CONCATENATE("http://crfop.gdos.gov.pl/CRFOP/widok/viewuzytekekologiczny.jsf?fop=","PL.ZIPOP.1393.UE.1010093.30"),"(kliknij lub Ctrl+kliknij)")</f>
        <v>(kliknij lub Ctrl+kliknij)</v>
      </c>
      <c r="H2568" s="0" t="s">
        <v>772</v>
      </c>
    </row>
    <row r="2569" customFormat="false" ht="12.8" hidden="false" customHeight="false" outlineLevel="0" collapsed="false">
      <c r="A2569" s="1" t="s">
        <v>1192</v>
      </c>
      <c r="C2569" s="3" t="s">
        <v>574</v>
      </c>
      <c r="D2569" s="4" t="s">
        <v>1215</v>
      </c>
      <c r="F2569" s="6" t="s">
        <v>1198</v>
      </c>
      <c r="G2569" s="7" t="str">
        <f aca="false">HYPERLINK(CONCATENATE("http://crfop.gdos.gov.pl/CRFOP/widok/viewuzytekekologiczny.jsf?fop=","PL.ZIPOP.1393.UE.1010093.364"),"(kliknij lub Ctrl+kliknij)")</f>
        <v>(kliknij lub Ctrl+kliknij)</v>
      </c>
      <c r="H2569" s="0" t="s">
        <v>772</v>
      </c>
    </row>
    <row r="2570" customFormat="false" ht="12.8" hidden="false" customHeight="false" outlineLevel="0" collapsed="false">
      <c r="A2570" s="1" t="s">
        <v>1192</v>
      </c>
      <c r="C2570" s="3" t="s">
        <v>591</v>
      </c>
      <c r="D2570" s="4" t="s">
        <v>1223</v>
      </c>
      <c r="F2570" s="6" t="s">
        <v>1315</v>
      </c>
      <c r="G2570" s="7" t="str">
        <f aca="false">HYPERLINK(CONCATENATE("http://crfop.gdos.gov.pl/CRFOP/widok/viewuzytekekologiczny.jsf?fop=","PL.ZIPOP.1393.UE.1010093.365"),"(kliknij lub Ctrl+kliknij)")</f>
        <v>(kliknij lub Ctrl+kliknij)</v>
      </c>
      <c r="H2570" s="0" t="s">
        <v>772</v>
      </c>
    </row>
    <row r="2571" customFormat="false" ht="12.8" hidden="false" customHeight="false" outlineLevel="0" collapsed="false">
      <c r="A2571" s="1" t="s">
        <v>1192</v>
      </c>
      <c r="C2571" s="3" t="s">
        <v>591</v>
      </c>
      <c r="D2571" s="4" t="s">
        <v>1206</v>
      </c>
      <c r="F2571" s="6" t="s">
        <v>1315</v>
      </c>
      <c r="G2571" s="7" t="str">
        <f aca="false">HYPERLINK(CONCATENATE("http://crfop.gdos.gov.pl/CRFOP/widok/viewuzytekekologiczny.jsf?fop=","PL.ZIPOP.1393.UE.1010093.366"),"(kliknij lub Ctrl+kliknij)")</f>
        <v>(kliknij lub Ctrl+kliknij)</v>
      </c>
      <c r="H2571" s="0" t="s">
        <v>772</v>
      </c>
    </row>
    <row r="2572" customFormat="false" ht="12.8" hidden="false" customHeight="false" outlineLevel="0" collapsed="false">
      <c r="A2572" s="1" t="s">
        <v>1192</v>
      </c>
      <c r="C2572" s="3" t="s">
        <v>591</v>
      </c>
      <c r="D2572" s="4" t="s">
        <v>1266</v>
      </c>
      <c r="F2572" s="6" t="s">
        <v>1315</v>
      </c>
      <c r="G2572" s="7" t="str">
        <f aca="false">HYPERLINK(CONCATENATE("http://crfop.gdos.gov.pl/CRFOP/widok/viewuzytekekologiczny.jsf?fop=","PL.ZIPOP.1393.UE.1010093.367"),"(kliknij lub Ctrl+kliknij)")</f>
        <v>(kliknij lub Ctrl+kliknij)</v>
      </c>
      <c r="H2572" s="0" t="s">
        <v>772</v>
      </c>
    </row>
    <row r="2573" customFormat="false" ht="12.8" hidden="false" customHeight="false" outlineLevel="0" collapsed="false">
      <c r="A2573" s="1" t="s">
        <v>1192</v>
      </c>
      <c r="C2573" s="3" t="s">
        <v>591</v>
      </c>
      <c r="D2573" s="4" t="s">
        <v>1208</v>
      </c>
      <c r="F2573" s="6" t="s">
        <v>1315</v>
      </c>
      <c r="G2573" s="7" t="str">
        <f aca="false">HYPERLINK(CONCATENATE("http://crfop.gdos.gov.pl/CRFOP/widok/viewuzytekekologiczny.jsf?fop=","PL.ZIPOP.1393.UE.1010093.368"),"(kliknij lub Ctrl+kliknij)")</f>
        <v>(kliknij lub Ctrl+kliknij)</v>
      </c>
      <c r="H2573" s="0" t="s">
        <v>772</v>
      </c>
    </row>
    <row r="2574" customFormat="false" ht="12.8" hidden="false" customHeight="false" outlineLevel="0" collapsed="false">
      <c r="A2574" s="1" t="s">
        <v>1192</v>
      </c>
      <c r="C2574" s="3" t="s">
        <v>591</v>
      </c>
      <c r="D2574" s="4" t="s">
        <v>1354</v>
      </c>
      <c r="F2574" s="6" t="s">
        <v>1315</v>
      </c>
      <c r="G2574" s="7" t="str">
        <f aca="false">HYPERLINK(CONCATENATE("http://crfop.gdos.gov.pl/CRFOP/widok/viewuzytekekologiczny.jsf?fop=","PL.ZIPOP.1393.UE.1010093.369"),"(kliknij lub Ctrl+kliknij)")</f>
        <v>(kliknij lub Ctrl+kliknij)</v>
      </c>
      <c r="H2574" s="0" t="s">
        <v>772</v>
      </c>
    </row>
    <row r="2575" customFormat="false" ht="12.8" hidden="false" customHeight="false" outlineLevel="0" collapsed="false">
      <c r="A2575" s="1" t="s">
        <v>1192</v>
      </c>
      <c r="C2575" s="3" t="s">
        <v>591</v>
      </c>
      <c r="D2575" s="4" t="s">
        <v>1248</v>
      </c>
      <c r="F2575" s="6" t="s">
        <v>1315</v>
      </c>
      <c r="G2575" s="7" t="str">
        <f aca="false">HYPERLINK(CONCATENATE("http://crfop.gdos.gov.pl/CRFOP/widok/viewuzytekekologiczny.jsf?fop=","PL.ZIPOP.1393.UE.1010093.370"),"(kliknij lub Ctrl+kliknij)")</f>
        <v>(kliknij lub Ctrl+kliknij)</v>
      </c>
      <c r="H2575" s="0" t="s">
        <v>772</v>
      </c>
    </row>
    <row r="2576" customFormat="false" ht="12.8" hidden="false" customHeight="false" outlineLevel="0" collapsed="false">
      <c r="A2576" s="1" t="s">
        <v>1192</v>
      </c>
      <c r="C2576" s="3" t="s">
        <v>591</v>
      </c>
      <c r="D2576" s="4" t="s">
        <v>1247</v>
      </c>
      <c r="F2576" s="6" t="s">
        <v>1315</v>
      </c>
      <c r="G2576" s="7" t="str">
        <f aca="false">HYPERLINK(CONCATENATE("http://crfop.gdos.gov.pl/CRFOP/widok/viewuzytekekologiczny.jsf?fop=","PL.ZIPOP.1393.UE.1010093.371"),"(kliknij lub Ctrl+kliknij)")</f>
        <v>(kliknij lub Ctrl+kliknij)</v>
      </c>
      <c r="H2576" s="0" t="s">
        <v>772</v>
      </c>
    </row>
    <row r="2577" customFormat="false" ht="12.8" hidden="false" customHeight="false" outlineLevel="0" collapsed="false">
      <c r="A2577" s="1" t="s">
        <v>1192</v>
      </c>
      <c r="C2577" s="3" t="s">
        <v>591</v>
      </c>
      <c r="D2577" s="4" t="s">
        <v>1410</v>
      </c>
      <c r="F2577" s="6" t="s">
        <v>1315</v>
      </c>
      <c r="G2577" s="7" t="str">
        <f aca="false">HYPERLINK(CONCATENATE("http://crfop.gdos.gov.pl/CRFOP/widok/viewuzytekekologiczny.jsf?fop=","PL.ZIPOP.1393.UE.1010093.372"),"(kliknij lub Ctrl+kliknij)")</f>
        <v>(kliknij lub Ctrl+kliknij)</v>
      </c>
      <c r="H2577" s="0" t="s">
        <v>772</v>
      </c>
    </row>
    <row r="2578" customFormat="false" ht="12.8" hidden="false" customHeight="false" outlineLevel="0" collapsed="false">
      <c r="A2578" s="1" t="s">
        <v>1192</v>
      </c>
      <c r="C2578" s="3" t="s">
        <v>591</v>
      </c>
      <c r="D2578" s="4" t="s">
        <v>1354</v>
      </c>
      <c r="F2578" s="6" t="s">
        <v>1315</v>
      </c>
      <c r="G2578" s="7" t="str">
        <f aca="false">HYPERLINK(CONCATENATE("http://crfop.gdos.gov.pl/CRFOP/widok/viewuzytekekologiczny.jsf?fop=","PL.ZIPOP.1393.UE.1010093.373"),"(kliknij lub Ctrl+kliknij)")</f>
        <v>(kliknij lub Ctrl+kliknij)</v>
      </c>
      <c r="H2578" s="0" t="s">
        <v>772</v>
      </c>
    </row>
    <row r="2579" customFormat="false" ht="12.8" hidden="false" customHeight="false" outlineLevel="0" collapsed="false">
      <c r="A2579" s="1" t="s">
        <v>1192</v>
      </c>
      <c r="C2579" s="3" t="s">
        <v>574</v>
      </c>
      <c r="D2579" s="4" t="s">
        <v>1206</v>
      </c>
      <c r="F2579" s="6" t="s">
        <v>1198</v>
      </c>
      <c r="G2579" s="7" t="str">
        <f aca="false">HYPERLINK(CONCATENATE("http://crfop.gdos.gov.pl/CRFOP/widok/viewuzytekekologiczny.jsf?fop=","PL.ZIPOP.1393.UE.1010093.374"),"(kliknij lub Ctrl+kliknij)")</f>
        <v>(kliknij lub Ctrl+kliknij)</v>
      </c>
      <c r="H2579" s="0" t="s">
        <v>772</v>
      </c>
    </row>
    <row r="2580" customFormat="false" ht="12.8" hidden="false" customHeight="false" outlineLevel="0" collapsed="false">
      <c r="A2580" s="1" t="s">
        <v>1192</v>
      </c>
      <c r="C2580" s="3" t="s">
        <v>591</v>
      </c>
      <c r="D2580" s="4" t="s">
        <v>1322</v>
      </c>
      <c r="F2580" s="6" t="s">
        <v>1315</v>
      </c>
      <c r="G2580" s="7" t="str">
        <f aca="false">HYPERLINK(CONCATENATE("http://crfop.gdos.gov.pl/CRFOP/widok/viewuzytekekologiczny.jsf?fop=","PL.ZIPOP.1393.UE.1010093.375"),"(kliknij lub Ctrl+kliknij)")</f>
        <v>(kliknij lub Ctrl+kliknij)</v>
      </c>
      <c r="H2580" s="0" t="s">
        <v>772</v>
      </c>
    </row>
    <row r="2581" customFormat="false" ht="12.8" hidden="false" customHeight="false" outlineLevel="0" collapsed="false">
      <c r="A2581" s="1" t="s">
        <v>1192</v>
      </c>
      <c r="C2581" s="3" t="s">
        <v>574</v>
      </c>
      <c r="D2581" s="4" t="s">
        <v>1245</v>
      </c>
      <c r="F2581" s="6" t="s">
        <v>1198</v>
      </c>
      <c r="G2581" s="7" t="str">
        <f aca="false">HYPERLINK(CONCATENATE("http://crfop.gdos.gov.pl/CRFOP/widok/viewuzytekekologiczny.jsf?fop=","PL.ZIPOP.1393.UE.1010093.376"),"(kliknij lub Ctrl+kliknij)")</f>
        <v>(kliknij lub Ctrl+kliknij)</v>
      </c>
      <c r="H2581" s="0" t="s">
        <v>772</v>
      </c>
    </row>
    <row r="2582" customFormat="false" ht="12.8" hidden="false" customHeight="false" outlineLevel="0" collapsed="false">
      <c r="A2582" s="1" t="s">
        <v>1192</v>
      </c>
      <c r="C2582" s="3" t="s">
        <v>574</v>
      </c>
      <c r="D2582" s="4" t="s">
        <v>1245</v>
      </c>
      <c r="F2582" s="6" t="s">
        <v>1198</v>
      </c>
      <c r="G2582" s="7" t="str">
        <f aca="false">HYPERLINK(CONCATENATE("http://crfop.gdos.gov.pl/CRFOP/widok/viewuzytekekologiczny.jsf?fop=","PL.ZIPOP.1393.UE.1010093.377"),"(kliknij lub Ctrl+kliknij)")</f>
        <v>(kliknij lub Ctrl+kliknij)</v>
      </c>
      <c r="H2582" s="0" t="s">
        <v>772</v>
      </c>
    </row>
    <row r="2583" customFormat="false" ht="12.8" hidden="false" customHeight="false" outlineLevel="0" collapsed="false">
      <c r="A2583" s="1" t="s">
        <v>1192</v>
      </c>
      <c r="C2583" s="3" t="s">
        <v>574</v>
      </c>
      <c r="D2583" s="4" t="s">
        <v>1399</v>
      </c>
      <c r="F2583" s="6" t="s">
        <v>1198</v>
      </c>
      <c r="G2583" s="7" t="str">
        <f aca="false">HYPERLINK(CONCATENATE("http://crfop.gdos.gov.pl/CRFOP/widok/viewuzytekekologiczny.jsf?fop=","PL.ZIPOP.1393.UE.1010093.378"),"(kliknij lub Ctrl+kliknij)")</f>
        <v>(kliknij lub Ctrl+kliknij)</v>
      </c>
      <c r="H2583" s="0" t="s">
        <v>772</v>
      </c>
    </row>
    <row r="2584" customFormat="false" ht="12.8" hidden="false" customHeight="false" outlineLevel="0" collapsed="false">
      <c r="A2584" s="1" t="s">
        <v>1192</v>
      </c>
      <c r="C2584" s="3" t="s">
        <v>574</v>
      </c>
      <c r="D2584" s="4" t="s">
        <v>1272</v>
      </c>
      <c r="F2584" s="6" t="s">
        <v>1198</v>
      </c>
      <c r="G2584" s="7" t="str">
        <f aca="false">HYPERLINK(CONCATENATE("http://crfop.gdos.gov.pl/CRFOP/widok/viewuzytekekologiczny.jsf?fop=","PL.ZIPOP.1393.UE.1010093.379"),"(kliknij lub Ctrl+kliknij)")</f>
        <v>(kliknij lub Ctrl+kliknij)</v>
      </c>
      <c r="H2584" s="0" t="s">
        <v>772</v>
      </c>
    </row>
    <row r="2585" customFormat="false" ht="12.8" hidden="false" customHeight="false" outlineLevel="0" collapsed="false">
      <c r="A2585" s="1" t="s">
        <v>1192</v>
      </c>
      <c r="C2585" s="3" t="s">
        <v>574</v>
      </c>
      <c r="D2585" s="4" t="s">
        <v>1340</v>
      </c>
      <c r="F2585" s="6" t="s">
        <v>1195</v>
      </c>
      <c r="G2585" s="7" t="str">
        <f aca="false">HYPERLINK(CONCATENATE("http://crfop.gdos.gov.pl/CRFOP/widok/viewuzytekekologiczny.jsf?fop=","PL.ZIPOP.1393.UE.1010093.380"),"(kliknij lub Ctrl+kliknij)")</f>
        <v>(kliknij lub Ctrl+kliknij)</v>
      </c>
      <c r="H2585" s="0" t="s">
        <v>772</v>
      </c>
    </row>
    <row r="2586" customFormat="false" ht="12.8" hidden="false" customHeight="false" outlineLevel="0" collapsed="false">
      <c r="A2586" s="1" t="s">
        <v>1192</v>
      </c>
      <c r="C2586" s="3" t="s">
        <v>574</v>
      </c>
      <c r="D2586" s="4" t="s">
        <v>1318</v>
      </c>
      <c r="F2586" s="6" t="s">
        <v>1198</v>
      </c>
      <c r="G2586" s="7" t="str">
        <f aca="false">HYPERLINK(CONCATENATE("http://crfop.gdos.gov.pl/CRFOP/widok/viewuzytekekologiczny.jsf?fop=","PL.ZIPOP.1393.UE.1010093.381"),"(kliknij lub Ctrl+kliknij)")</f>
        <v>(kliknij lub Ctrl+kliknij)</v>
      </c>
      <c r="H2586" s="0" t="s">
        <v>772</v>
      </c>
    </row>
    <row r="2587" customFormat="false" ht="12.8" hidden="false" customHeight="false" outlineLevel="0" collapsed="false">
      <c r="A2587" s="1" t="s">
        <v>1192</v>
      </c>
      <c r="C2587" s="3" t="s">
        <v>574</v>
      </c>
      <c r="D2587" s="4" t="s">
        <v>1358</v>
      </c>
      <c r="F2587" s="6" t="s">
        <v>1198</v>
      </c>
      <c r="G2587" s="7" t="str">
        <f aca="false">HYPERLINK(CONCATENATE("http://crfop.gdos.gov.pl/CRFOP/widok/viewuzytekekologiczny.jsf?fop=","PL.ZIPOP.1393.UE.1010093.382"),"(kliknij lub Ctrl+kliknij)")</f>
        <v>(kliknij lub Ctrl+kliknij)</v>
      </c>
      <c r="H2587" s="0" t="s">
        <v>772</v>
      </c>
    </row>
    <row r="2588" customFormat="false" ht="12.8" hidden="false" customHeight="false" outlineLevel="0" collapsed="false">
      <c r="A2588" s="1" t="s">
        <v>1192</v>
      </c>
      <c r="C2588" s="3" t="s">
        <v>591</v>
      </c>
      <c r="D2588" s="4" t="s">
        <v>376</v>
      </c>
      <c r="F2588" s="6" t="s">
        <v>1315</v>
      </c>
      <c r="G2588" s="7" t="str">
        <f aca="false">HYPERLINK(CONCATENATE("http://crfop.gdos.gov.pl/CRFOP/widok/viewuzytekekologiczny.jsf?fop=","PL.ZIPOP.1393.UE.1010093.383"),"(kliknij lub Ctrl+kliknij)")</f>
        <v>(kliknij lub Ctrl+kliknij)</v>
      </c>
      <c r="H2588" s="0" t="s">
        <v>772</v>
      </c>
    </row>
    <row r="2589" customFormat="false" ht="12.8" hidden="false" customHeight="false" outlineLevel="0" collapsed="false">
      <c r="A2589" s="1" t="s">
        <v>1192</v>
      </c>
      <c r="C2589" s="3" t="s">
        <v>574</v>
      </c>
      <c r="D2589" s="4" t="s">
        <v>1245</v>
      </c>
      <c r="F2589" s="6" t="s">
        <v>1198</v>
      </c>
      <c r="G2589" s="7" t="str">
        <f aca="false">HYPERLINK(CONCATENATE("http://crfop.gdos.gov.pl/CRFOP/widok/viewuzytekekologiczny.jsf?fop=","PL.ZIPOP.1393.UE.1010093.384"),"(kliknij lub Ctrl+kliknij)")</f>
        <v>(kliknij lub Ctrl+kliknij)</v>
      </c>
      <c r="H2589" s="0" t="s">
        <v>772</v>
      </c>
    </row>
    <row r="2590" customFormat="false" ht="12.8" hidden="false" customHeight="false" outlineLevel="0" collapsed="false">
      <c r="A2590" s="1" t="s">
        <v>1192</v>
      </c>
      <c r="C2590" s="3" t="s">
        <v>591</v>
      </c>
      <c r="D2590" s="4" t="s">
        <v>1247</v>
      </c>
      <c r="F2590" s="6" t="s">
        <v>1315</v>
      </c>
      <c r="G2590" s="7" t="str">
        <f aca="false">HYPERLINK(CONCATENATE("http://crfop.gdos.gov.pl/CRFOP/widok/viewuzytekekologiczny.jsf?fop=","PL.ZIPOP.1393.UE.1010093.385"),"(kliknij lub Ctrl+kliknij)")</f>
        <v>(kliknij lub Ctrl+kliknij)</v>
      </c>
      <c r="H2590" s="0" t="s">
        <v>772</v>
      </c>
    </row>
    <row r="2591" customFormat="false" ht="12.8" hidden="false" customHeight="false" outlineLevel="0" collapsed="false">
      <c r="A2591" s="1" t="s">
        <v>1192</v>
      </c>
      <c r="C2591" s="3" t="s">
        <v>574</v>
      </c>
      <c r="D2591" s="4" t="s">
        <v>1403</v>
      </c>
      <c r="F2591" s="6" t="s">
        <v>1198</v>
      </c>
      <c r="G2591" s="7" t="str">
        <f aca="false">HYPERLINK(CONCATENATE("http://crfop.gdos.gov.pl/CRFOP/widok/viewuzytekekologiczny.jsf?fop=","PL.ZIPOP.1393.UE.1010093.387"),"(kliknij lub Ctrl+kliknij)")</f>
        <v>(kliknij lub Ctrl+kliknij)</v>
      </c>
      <c r="H2591" s="0" t="s">
        <v>772</v>
      </c>
    </row>
    <row r="2592" customFormat="false" ht="12.8" hidden="false" customHeight="false" outlineLevel="0" collapsed="false">
      <c r="A2592" s="1" t="s">
        <v>1192</v>
      </c>
      <c r="C2592" s="3" t="s">
        <v>591</v>
      </c>
      <c r="D2592" s="4" t="s">
        <v>1400</v>
      </c>
      <c r="F2592" s="6" t="s">
        <v>1315</v>
      </c>
      <c r="G2592" s="7" t="str">
        <f aca="false">HYPERLINK(CONCATENATE("http://crfop.gdos.gov.pl/CRFOP/widok/viewuzytekekologiczny.jsf?fop=","PL.ZIPOP.1393.UE.1010093.388"),"(kliknij lub Ctrl+kliknij)")</f>
        <v>(kliknij lub Ctrl+kliknij)</v>
      </c>
      <c r="H2592" s="0" t="s">
        <v>772</v>
      </c>
    </row>
    <row r="2593" customFormat="false" ht="12.8" hidden="false" customHeight="false" outlineLevel="0" collapsed="false">
      <c r="A2593" s="1" t="s">
        <v>1192</v>
      </c>
      <c r="C2593" s="3" t="s">
        <v>591</v>
      </c>
      <c r="D2593" s="4" t="s">
        <v>1400</v>
      </c>
      <c r="F2593" s="6" t="s">
        <v>1315</v>
      </c>
      <c r="G2593" s="7" t="str">
        <f aca="false">HYPERLINK(CONCATENATE("http://crfop.gdos.gov.pl/CRFOP/widok/viewuzytekekologiczny.jsf?fop=","PL.ZIPOP.1393.UE.1010093.389"),"(kliknij lub Ctrl+kliknij)")</f>
        <v>(kliknij lub Ctrl+kliknij)</v>
      </c>
      <c r="H2593" s="0" t="s">
        <v>772</v>
      </c>
    </row>
    <row r="2594" customFormat="false" ht="12.8" hidden="false" customHeight="false" outlineLevel="0" collapsed="false">
      <c r="A2594" s="1" t="s">
        <v>1192</v>
      </c>
      <c r="C2594" s="3" t="s">
        <v>591</v>
      </c>
      <c r="D2594" s="4" t="s">
        <v>1217</v>
      </c>
      <c r="F2594" s="6" t="s">
        <v>1315</v>
      </c>
      <c r="G2594" s="7" t="str">
        <f aca="false">HYPERLINK(CONCATENATE("http://crfop.gdos.gov.pl/CRFOP/widok/viewuzytekekologiczny.jsf?fop=","PL.ZIPOP.1393.UE.1010093.390"),"(kliknij lub Ctrl+kliknij)")</f>
        <v>(kliknij lub Ctrl+kliknij)</v>
      </c>
      <c r="H2594" s="0" t="s">
        <v>772</v>
      </c>
    </row>
    <row r="2595" customFormat="false" ht="12.8" hidden="false" customHeight="false" outlineLevel="0" collapsed="false">
      <c r="A2595" s="1" t="s">
        <v>1192</v>
      </c>
      <c r="C2595" s="3" t="s">
        <v>591</v>
      </c>
      <c r="D2595" s="4" t="s">
        <v>1407</v>
      </c>
      <c r="F2595" s="6" t="s">
        <v>1315</v>
      </c>
      <c r="G2595" s="7" t="str">
        <f aca="false">HYPERLINK(CONCATENATE("http://crfop.gdos.gov.pl/CRFOP/widok/viewuzytekekologiczny.jsf?fop=","PL.ZIPOP.1393.UE.1010093.391"),"(kliknij lub Ctrl+kliknij)")</f>
        <v>(kliknij lub Ctrl+kliknij)</v>
      </c>
      <c r="H2595" s="0" t="s">
        <v>772</v>
      </c>
    </row>
    <row r="2596" customFormat="false" ht="12.8" hidden="false" customHeight="false" outlineLevel="0" collapsed="false">
      <c r="A2596" s="1" t="s">
        <v>1192</v>
      </c>
      <c r="C2596" s="3" t="s">
        <v>591</v>
      </c>
      <c r="D2596" s="4" t="s">
        <v>1249</v>
      </c>
      <c r="F2596" s="6" t="s">
        <v>1315</v>
      </c>
      <c r="G2596" s="7" t="str">
        <f aca="false">HYPERLINK(CONCATENATE("http://crfop.gdos.gov.pl/CRFOP/widok/viewuzytekekologiczny.jsf?fop=","PL.ZIPOP.1393.UE.1010093.392"),"(kliknij lub Ctrl+kliknij)")</f>
        <v>(kliknij lub Ctrl+kliknij)</v>
      </c>
      <c r="H2596" s="0" t="s">
        <v>772</v>
      </c>
    </row>
    <row r="2597" customFormat="false" ht="12.8" hidden="false" customHeight="false" outlineLevel="0" collapsed="false">
      <c r="A2597" s="1" t="s">
        <v>1192</v>
      </c>
      <c r="C2597" s="3" t="s">
        <v>591</v>
      </c>
      <c r="D2597" s="4" t="s">
        <v>1413</v>
      </c>
      <c r="F2597" s="6" t="s">
        <v>1315</v>
      </c>
      <c r="G2597" s="7" t="str">
        <f aca="false">HYPERLINK(CONCATENATE("http://crfop.gdos.gov.pl/CRFOP/widok/viewuzytekekologiczny.jsf?fop=","PL.ZIPOP.1393.UE.1010093.393"),"(kliknij lub Ctrl+kliknij)")</f>
        <v>(kliknij lub Ctrl+kliknij)</v>
      </c>
      <c r="H2597" s="0" t="s">
        <v>772</v>
      </c>
    </row>
    <row r="2598" customFormat="false" ht="12.8" hidden="false" customHeight="false" outlineLevel="0" collapsed="false">
      <c r="A2598" s="1" t="s">
        <v>1192</v>
      </c>
      <c r="C2598" s="3" t="s">
        <v>591</v>
      </c>
      <c r="D2598" s="4" t="s">
        <v>1413</v>
      </c>
      <c r="F2598" s="6" t="s">
        <v>1315</v>
      </c>
      <c r="G2598" s="7" t="str">
        <f aca="false">HYPERLINK(CONCATENATE("http://crfop.gdos.gov.pl/CRFOP/widok/viewuzytekekologiczny.jsf?fop=","PL.ZIPOP.1393.UE.1010093.394"),"(kliknij lub Ctrl+kliknij)")</f>
        <v>(kliknij lub Ctrl+kliknij)</v>
      </c>
      <c r="H2598" s="0" t="s">
        <v>772</v>
      </c>
    </row>
    <row r="2599" customFormat="false" ht="12.8" hidden="false" customHeight="false" outlineLevel="0" collapsed="false">
      <c r="A2599" s="1" t="s">
        <v>1192</v>
      </c>
      <c r="C2599" s="3" t="s">
        <v>591</v>
      </c>
      <c r="D2599" s="4" t="s">
        <v>1247</v>
      </c>
      <c r="F2599" s="6" t="s">
        <v>1315</v>
      </c>
      <c r="G2599" s="7" t="str">
        <f aca="false">HYPERLINK(CONCATENATE("http://crfop.gdos.gov.pl/CRFOP/widok/viewuzytekekologiczny.jsf?fop=","PL.ZIPOP.1393.UE.1010093.395"),"(kliknij lub Ctrl+kliknij)")</f>
        <v>(kliknij lub Ctrl+kliknij)</v>
      </c>
      <c r="H2599" s="0" t="s">
        <v>772</v>
      </c>
    </row>
    <row r="2600" customFormat="false" ht="12.8" hidden="false" customHeight="false" outlineLevel="0" collapsed="false">
      <c r="A2600" s="1" t="s">
        <v>1192</v>
      </c>
      <c r="C2600" s="3" t="s">
        <v>591</v>
      </c>
      <c r="D2600" s="4" t="s">
        <v>1400</v>
      </c>
      <c r="F2600" s="6" t="s">
        <v>1315</v>
      </c>
      <c r="G2600" s="7" t="str">
        <f aca="false">HYPERLINK(CONCATENATE("http://crfop.gdos.gov.pl/CRFOP/widok/viewuzytekekologiczny.jsf?fop=","PL.ZIPOP.1393.UE.1010093.396"),"(kliknij lub Ctrl+kliknij)")</f>
        <v>(kliknij lub Ctrl+kliknij)</v>
      </c>
      <c r="H2600" s="0" t="s">
        <v>772</v>
      </c>
    </row>
    <row r="2601" customFormat="false" ht="12.8" hidden="false" customHeight="false" outlineLevel="0" collapsed="false">
      <c r="A2601" s="1" t="s">
        <v>1192</v>
      </c>
      <c r="C2601" s="3" t="s">
        <v>591</v>
      </c>
      <c r="D2601" s="4" t="s">
        <v>1400</v>
      </c>
      <c r="F2601" s="6" t="s">
        <v>1315</v>
      </c>
      <c r="G2601" s="7" t="str">
        <f aca="false">HYPERLINK(CONCATENATE("http://crfop.gdos.gov.pl/CRFOP/widok/viewuzytekekologiczny.jsf?fop=","PL.ZIPOP.1393.UE.1010093.397"),"(kliknij lub Ctrl+kliknij)")</f>
        <v>(kliknij lub Ctrl+kliknij)</v>
      </c>
      <c r="H2601" s="0" t="s">
        <v>772</v>
      </c>
    </row>
    <row r="2602" customFormat="false" ht="12.8" hidden="false" customHeight="false" outlineLevel="0" collapsed="false">
      <c r="A2602" s="1" t="s">
        <v>1192</v>
      </c>
      <c r="C2602" s="3" t="s">
        <v>574</v>
      </c>
      <c r="D2602" s="4" t="s">
        <v>1434</v>
      </c>
      <c r="F2602" s="6" t="s">
        <v>1198</v>
      </c>
      <c r="G2602" s="7" t="str">
        <f aca="false">HYPERLINK(CONCATENATE("http://crfop.gdos.gov.pl/CRFOP/widok/viewuzytekekologiczny.jsf?fop=","PL.ZIPOP.1393.UE.1010093.398"),"(kliknij lub Ctrl+kliknij)")</f>
        <v>(kliknij lub Ctrl+kliknij)</v>
      </c>
      <c r="H2602" s="0" t="s">
        <v>772</v>
      </c>
    </row>
    <row r="2603" customFormat="false" ht="12.8" hidden="false" customHeight="false" outlineLevel="0" collapsed="false">
      <c r="A2603" s="1" t="s">
        <v>1192</v>
      </c>
      <c r="C2603" s="3" t="s">
        <v>574</v>
      </c>
      <c r="D2603" s="4" t="s">
        <v>1288</v>
      </c>
      <c r="F2603" s="6" t="s">
        <v>1198</v>
      </c>
      <c r="G2603" s="7" t="str">
        <f aca="false">HYPERLINK(CONCATENATE("http://crfop.gdos.gov.pl/CRFOP/widok/viewuzytekekologiczny.jsf?fop=","PL.ZIPOP.1393.UE.1010093.399"),"(kliknij lub Ctrl+kliknij)")</f>
        <v>(kliknij lub Ctrl+kliknij)</v>
      </c>
      <c r="H2603" s="0" t="s">
        <v>772</v>
      </c>
    </row>
    <row r="2604" customFormat="false" ht="12.8" hidden="false" customHeight="false" outlineLevel="0" collapsed="false">
      <c r="A2604" s="1" t="s">
        <v>1192</v>
      </c>
      <c r="C2604" s="3" t="s">
        <v>591</v>
      </c>
      <c r="D2604" s="4" t="s">
        <v>1400</v>
      </c>
      <c r="F2604" s="6" t="s">
        <v>1315</v>
      </c>
      <c r="G2604" s="7" t="str">
        <f aca="false">HYPERLINK(CONCATENATE("http://crfop.gdos.gov.pl/CRFOP/widok/viewuzytekekologiczny.jsf?fop=","PL.ZIPOP.1393.UE.1010093.400"),"(kliknij lub Ctrl+kliknij)")</f>
        <v>(kliknij lub Ctrl+kliknij)</v>
      </c>
      <c r="H2604" s="0" t="s">
        <v>772</v>
      </c>
    </row>
    <row r="2605" customFormat="false" ht="12.8" hidden="false" customHeight="false" outlineLevel="0" collapsed="false">
      <c r="A2605" s="1" t="s">
        <v>1192</v>
      </c>
      <c r="C2605" s="3" t="s">
        <v>591</v>
      </c>
      <c r="D2605" s="4" t="s">
        <v>1413</v>
      </c>
      <c r="F2605" s="6" t="s">
        <v>1315</v>
      </c>
      <c r="G2605" s="7" t="str">
        <f aca="false">HYPERLINK(CONCATENATE("http://crfop.gdos.gov.pl/CRFOP/widok/viewuzytekekologiczny.jsf?fop=","PL.ZIPOP.1393.UE.1010093.401"),"(kliknij lub Ctrl+kliknij)")</f>
        <v>(kliknij lub Ctrl+kliknij)</v>
      </c>
      <c r="H2605" s="0" t="s">
        <v>772</v>
      </c>
    </row>
    <row r="2606" customFormat="false" ht="12.8" hidden="false" customHeight="false" outlineLevel="0" collapsed="false">
      <c r="A2606" s="1" t="s">
        <v>1192</v>
      </c>
      <c r="C2606" s="3" t="s">
        <v>591</v>
      </c>
      <c r="D2606" s="4" t="s">
        <v>1400</v>
      </c>
      <c r="F2606" s="6" t="s">
        <v>1315</v>
      </c>
      <c r="G2606" s="7" t="str">
        <f aca="false">HYPERLINK(CONCATENATE("http://crfop.gdos.gov.pl/CRFOP/widok/viewuzytekekologiczny.jsf?fop=","PL.ZIPOP.1393.UE.1010093.402"),"(kliknij lub Ctrl+kliknij)")</f>
        <v>(kliknij lub Ctrl+kliknij)</v>
      </c>
      <c r="H2606" s="0" t="s">
        <v>772</v>
      </c>
    </row>
    <row r="2607" customFormat="false" ht="12.8" hidden="false" customHeight="false" outlineLevel="0" collapsed="false">
      <c r="A2607" s="1" t="s">
        <v>1192</v>
      </c>
      <c r="C2607" s="3" t="s">
        <v>591</v>
      </c>
      <c r="D2607" s="4" t="s">
        <v>1414</v>
      </c>
      <c r="F2607" s="6" t="s">
        <v>1315</v>
      </c>
      <c r="G2607" s="7" t="str">
        <f aca="false">HYPERLINK(CONCATENATE("http://crfop.gdos.gov.pl/CRFOP/widok/viewuzytekekologiczny.jsf?fop=","PL.ZIPOP.1393.UE.1010093.403"),"(kliknij lub Ctrl+kliknij)")</f>
        <v>(kliknij lub Ctrl+kliknij)</v>
      </c>
      <c r="H2607" s="0" t="s">
        <v>772</v>
      </c>
    </row>
    <row r="2608" customFormat="false" ht="12.8" hidden="false" customHeight="false" outlineLevel="0" collapsed="false">
      <c r="A2608" s="1" t="s">
        <v>1192</v>
      </c>
      <c r="C2608" s="3" t="s">
        <v>591</v>
      </c>
      <c r="D2608" s="4" t="s">
        <v>1413</v>
      </c>
      <c r="F2608" s="6" t="s">
        <v>1315</v>
      </c>
      <c r="G2608" s="7" t="str">
        <f aca="false">HYPERLINK(CONCATENATE("http://crfop.gdos.gov.pl/CRFOP/widok/viewuzytekekologiczny.jsf?fop=","PL.ZIPOP.1393.UE.1010093.404"),"(kliknij lub Ctrl+kliknij)")</f>
        <v>(kliknij lub Ctrl+kliknij)</v>
      </c>
      <c r="H2608" s="0" t="s">
        <v>772</v>
      </c>
    </row>
    <row r="2609" customFormat="false" ht="12.8" hidden="false" customHeight="false" outlineLevel="0" collapsed="false">
      <c r="A2609" s="1" t="s">
        <v>1192</v>
      </c>
      <c r="C2609" s="3" t="s">
        <v>591</v>
      </c>
      <c r="D2609" s="4" t="s">
        <v>1413</v>
      </c>
      <c r="F2609" s="6" t="s">
        <v>1315</v>
      </c>
      <c r="G2609" s="7" t="str">
        <f aca="false">HYPERLINK(CONCATENATE("http://crfop.gdos.gov.pl/CRFOP/widok/viewuzytekekologiczny.jsf?fop=","PL.ZIPOP.1393.UE.1010093.405"),"(kliknij lub Ctrl+kliknij)")</f>
        <v>(kliknij lub Ctrl+kliknij)</v>
      </c>
      <c r="H2609" s="0" t="s">
        <v>772</v>
      </c>
    </row>
    <row r="2610" customFormat="false" ht="12.8" hidden="false" customHeight="false" outlineLevel="0" collapsed="false">
      <c r="A2610" s="1" t="s">
        <v>1192</v>
      </c>
      <c r="C2610" s="3" t="s">
        <v>574</v>
      </c>
      <c r="D2610" s="4" t="s">
        <v>1277</v>
      </c>
      <c r="F2610" s="6" t="s">
        <v>1198</v>
      </c>
      <c r="G2610" s="7" t="str">
        <f aca="false">HYPERLINK(CONCATENATE("http://crfop.gdos.gov.pl/CRFOP/widok/viewuzytekekologiczny.jsf?fop=","PL.ZIPOP.1393.UE.1010093.406"),"(kliknij lub Ctrl+kliknij)")</f>
        <v>(kliknij lub Ctrl+kliknij)</v>
      </c>
      <c r="H2610" s="0" t="s">
        <v>772</v>
      </c>
    </row>
    <row r="2611" customFormat="false" ht="12.8" hidden="false" customHeight="false" outlineLevel="0" collapsed="false">
      <c r="A2611" s="1" t="s">
        <v>1192</v>
      </c>
      <c r="C2611" s="3" t="s">
        <v>574</v>
      </c>
      <c r="D2611" s="4" t="s">
        <v>1389</v>
      </c>
      <c r="F2611" s="6" t="s">
        <v>1198</v>
      </c>
      <c r="G2611" s="7" t="str">
        <f aca="false">HYPERLINK(CONCATENATE("http://crfop.gdos.gov.pl/CRFOP/widok/viewuzytekekologiczny.jsf?fop=","PL.ZIPOP.1393.UE.1010093.407"),"(kliknij lub Ctrl+kliknij)")</f>
        <v>(kliknij lub Ctrl+kliknij)</v>
      </c>
      <c r="H2611" s="0" t="s">
        <v>772</v>
      </c>
    </row>
    <row r="2612" customFormat="false" ht="12.8" hidden="false" customHeight="false" outlineLevel="0" collapsed="false">
      <c r="A2612" s="1" t="s">
        <v>1192</v>
      </c>
      <c r="C2612" s="3" t="s">
        <v>399</v>
      </c>
      <c r="D2612" s="4" t="s">
        <v>1435</v>
      </c>
      <c r="F2612" s="6" t="s">
        <v>1417</v>
      </c>
      <c r="G2612" s="7" t="str">
        <f aca="false">HYPERLINK(CONCATENATE("http://crfop.gdos.gov.pl/CRFOP/widok/viewuzytekekologiczny.jsf?fop=","PL.ZIPOP.1393.UE.1010093.408"),"(kliknij lub Ctrl+kliknij)")</f>
        <v>(kliknij lub Ctrl+kliknij)</v>
      </c>
      <c r="H2612" s="0" t="s">
        <v>772</v>
      </c>
    </row>
    <row r="2613" customFormat="false" ht="12.8" hidden="false" customHeight="false" outlineLevel="0" collapsed="false">
      <c r="A2613" s="1" t="s">
        <v>1192</v>
      </c>
      <c r="C2613" s="3" t="s">
        <v>399</v>
      </c>
      <c r="D2613" s="4" t="s">
        <v>1293</v>
      </c>
      <c r="F2613" s="6" t="s">
        <v>1417</v>
      </c>
      <c r="G2613" s="7" t="str">
        <f aca="false">HYPERLINK(CONCATENATE("http://crfop.gdos.gov.pl/CRFOP/widok/viewuzytekekologiczny.jsf?fop=","PL.ZIPOP.1393.UE.1010093.409"),"(kliknij lub Ctrl+kliknij)")</f>
        <v>(kliknij lub Ctrl+kliknij)</v>
      </c>
      <c r="H2613" s="0" t="s">
        <v>772</v>
      </c>
    </row>
    <row r="2614" customFormat="false" ht="12.8" hidden="false" customHeight="false" outlineLevel="0" collapsed="false">
      <c r="A2614" s="1" t="s">
        <v>1192</v>
      </c>
      <c r="C2614" s="3" t="s">
        <v>399</v>
      </c>
      <c r="D2614" s="4" t="s">
        <v>1210</v>
      </c>
      <c r="F2614" s="6" t="s">
        <v>1417</v>
      </c>
      <c r="G2614" s="7" t="str">
        <f aca="false">HYPERLINK(CONCATENATE("http://crfop.gdos.gov.pl/CRFOP/widok/viewuzytekekologiczny.jsf?fop=","PL.ZIPOP.1393.UE.1010093.410"),"(kliknij lub Ctrl+kliknij)")</f>
        <v>(kliknij lub Ctrl+kliknij)</v>
      </c>
      <c r="H2614" s="0" t="s">
        <v>772</v>
      </c>
    </row>
    <row r="2615" customFormat="false" ht="12.8" hidden="false" customHeight="false" outlineLevel="0" collapsed="false">
      <c r="A2615" s="1" t="s">
        <v>1192</v>
      </c>
      <c r="C2615" s="3" t="s">
        <v>399</v>
      </c>
      <c r="D2615" s="4" t="s">
        <v>1436</v>
      </c>
      <c r="F2615" s="6" t="s">
        <v>1417</v>
      </c>
      <c r="G2615" s="7" t="str">
        <f aca="false">HYPERLINK(CONCATENATE("http://crfop.gdos.gov.pl/CRFOP/widok/viewuzytekekologiczny.jsf?fop=","PL.ZIPOP.1393.UE.1010093.411"),"(kliknij lub Ctrl+kliknij)")</f>
        <v>(kliknij lub Ctrl+kliknij)</v>
      </c>
      <c r="H2615" s="0" t="s">
        <v>772</v>
      </c>
    </row>
    <row r="2616" customFormat="false" ht="12.8" hidden="false" customHeight="false" outlineLevel="0" collapsed="false">
      <c r="A2616" s="1" t="s">
        <v>1192</v>
      </c>
      <c r="C2616" s="3" t="s">
        <v>399</v>
      </c>
      <c r="D2616" s="4" t="s">
        <v>1421</v>
      </c>
      <c r="F2616" s="6" t="s">
        <v>1417</v>
      </c>
      <c r="G2616" s="7" t="str">
        <f aca="false">HYPERLINK(CONCATENATE("http://crfop.gdos.gov.pl/CRFOP/widok/viewuzytekekologiczny.jsf?fop=","PL.ZIPOP.1393.UE.1010093.412"),"(kliknij lub Ctrl+kliknij)")</f>
        <v>(kliknij lub Ctrl+kliknij)</v>
      </c>
      <c r="H2616" s="0" t="s">
        <v>772</v>
      </c>
    </row>
    <row r="2617" customFormat="false" ht="12.8" hidden="false" customHeight="false" outlineLevel="0" collapsed="false">
      <c r="A2617" s="1" t="s">
        <v>1192</v>
      </c>
      <c r="C2617" s="3" t="s">
        <v>399</v>
      </c>
      <c r="D2617" s="4" t="s">
        <v>1204</v>
      </c>
      <c r="F2617" s="6" t="s">
        <v>1417</v>
      </c>
      <c r="G2617" s="7" t="str">
        <f aca="false">HYPERLINK(CONCATENATE("http://crfop.gdos.gov.pl/CRFOP/widok/viewuzytekekologiczny.jsf?fop=","PL.ZIPOP.1393.UE.1010093.413"),"(kliknij lub Ctrl+kliknij)")</f>
        <v>(kliknij lub Ctrl+kliknij)</v>
      </c>
      <c r="H2617" s="0" t="s">
        <v>772</v>
      </c>
    </row>
    <row r="2618" customFormat="false" ht="12.8" hidden="false" customHeight="false" outlineLevel="0" collapsed="false">
      <c r="A2618" s="1" t="s">
        <v>1192</v>
      </c>
      <c r="C2618" s="3" t="s">
        <v>399</v>
      </c>
      <c r="D2618" s="4" t="s">
        <v>1245</v>
      </c>
      <c r="F2618" s="6" t="s">
        <v>1417</v>
      </c>
      <c r="G2618" s="7" t="str">
        <f aca="false">HYPERLINK(CONCATENATE("http://crfop.gdos.gov.pl/CRFOP/widok/viewuzytekekologiczny.jsf?fop=","PL.ZIPOP.1393.UE.1010093.414"),"(kliknij lub Ctrl+kliknij)")</f>
        <v>(kliknij lub Ctrl+kliknij)</v>
      </c>
      <c r="H2618" s="0" t="s">
        <v>772</v>
      </c>
    </row>
    <row r="2619" customFormat="false" ht="12.8" hidden="false" customHeight="false" outlineLevel="0" collapsed="false">
      <c r="A2619" s="1" t="s">
        <v>1192</v>
      </c>
      <c r="C2619" s="3" t="s">
        <v>574</v>
      </c>
      <c r="D2619" s="4" t="s">
        <v>1403</v>
      </c>
      <c r="F2619" s="6" t="s">
        <v>1198</v>
      </c>
      <c r="G2619" s="7" t="str">
        <f aca="false">HYPERLINK(CONCATENATE("http://crfop.gdos.gov.pl/CRFOP/widok/viewuzytekekologiczny.jsf?fop=","PL.ZIPOP.1393.UE.1010093.415"),"(kliknij lub Ctrl+kliknij)")</f>
        <v>(kliknij lub Ctrl+kliknij)</v>
      </c>
      <c r="H2619" s="0" t="s">
        <v>772</v>
      </c>
    </row>
    <row r="2620" customFormat="false" ht="12.8" hidden="false" customHeight="false" outlineLevel="0" collapsed="false">
      <c r="A2620" s="1" t="s">
        <v>1192</v>
      </c>
      <c r="C2620" s="3" t="s">
        <v>574</v>
      </c>
      <c r="D2620" s="4" t="s">
        <v>1202</v>
      </c>
      <c r="F2620" s="6" t="s">
        <v>1198</v>
      </c>
      <c r="G2620" s="7" t="str">
        <f aca="false">HYPERLINK(CONCATENATE("http://crfop.gdos.gov.pl/CRFOP/widok/viewuzytekekologiczny.jsf?fop=","PL.ZIPOP.1393.UE.1010093.416"),"(kliknij lub Ctrl+kliknij)")</f>
        <v>(kliknij lub Ctrl+kliknij)</v>
      </c>
      <c r="H2620" s="0" t="s">
        <v>772</v>
      </c>
    </row>
    <row r="2621" customFormat="false" ht="12.8" hidden="false" customHeight="false" outlineLevel="0" collapsed="false">
      <c r="A2621" s="1" t="s">
        <v>1192</v>
      </c>
      <c r="B2621" s="2" t="s">
        <v>1437</v>
      </c>
      <c r="C2621" s="3" t="s">
        <v>1438</v>
      </c>
      <c r="D2621" s="4" t="s">
        <v>1439</v>
      </c>
      <c r="F2621" s="6" t="s">
        <v>1440</v>
      </c>
      <c r="G2621" s="7" t="str">
        <f aca="false">HYPERLINK(CONCATENATE("http://crfop.gdos.gov.pl/CRFOP/widok/viewuzytekekologiczny.jsf?fop=","PL.ZIPOP.1393.UE.1010093.417"),"(kliknij lub Ctrl+kliknij)")</f>
        <v>(kliknij lub Ctrl+kliknij)</v>
      </c>
      <c r="H2621" s="0" t="s">
        <v>772</v>
      </c>
    </row>
    <row r="2622" customFormat="false" ht="12.8" hidden="false" customHeight="false" outlineLevel="0" collapsed="false">
      <c r="A2622" s="1" t="s">
        <v>1192</v>
      </c>
      <c r="C2622" s="3" t="s">
        <v>399</v>
      </c>
      <c r="D2622" s="4" t="s">
        <v>1239</v>
      </c>
      <c r="F2622" s="6" t="s">
        <v>1417</v>
      </c>
      <c r="G2622" s="7" t="str">
        <f aca="false">HYPERLINK(CONCATENATE("http://crfop.gdos.gov.pl/CRFOP/widok/viewuzytekekologiczny.jsf?fop=","PL.ZIPOP.1393.UE.1010093.726"),"(kliknij lub Ctrl+kliknij)")</f>
        <v>(kliknij lub Ctrl+kliknij)</v>
      </c>
      <c r="H2622" s="0" t="s">
        <v>772</v>
      </c>
    </row>
    <row r="2623" customFormat="false" ht="12.8" hidden="false" customHeight="false" outlineLevel="0" collapsed="false">
      <c r="A2623" s="1" t="s">
        <v>1192</v>
      </c>
      <c r="C2623" s="3" t="s">
        <v>574</v>
      </c>
      <c r="D2623" s="4" t="s">
        <v>1229</v>
      </c>
      <c r="F2623" s="6" t="s">
        <v>1198</v>
      </c>
      <c r="G2623" s="7" t="str">
        <f aca="false">HYPERLINK(CONCATENATE("http://crfop.gdos.gov.pl/CRFOP/widok/viewuzytekekologiczny.jsf?fop=","PL.ZIPOP.1393.UE.1010093.872"),"(kliknij lub Ctrl+kliknij)")</f>
        <v>(kliknij lub Ctrl+kliknij)</v>
      </c>
      <c r="H2623" s="0" t="s">
        <v>772</v>
      </c>
    </row>
    <row r="2624" customFormat="false" ht="12.8" hidden="false" customHeight="false" outlineLevel="0" collapsed="false">
      <c r="A2624" s="1" t="s">
        <v>1192</v>
      </c>
      <c r="C2624" s="3" t="s">
        <v>399</v>
      </c>
      <c r="D2624" s="4" t="s">
        <v>1355</v>
      </c>
      <c r="F2624" s="6" t="s">
        <v>1417</v>
      </c>
      <c r="G2624" s="7" t="str">
        <f aca="false">HYPERLINK(CONCATENATE("http://crfop.gdos.gov.pl/CRFOP/widok/viewuzytekekologiczny.jsf?fop=","PL.ZIPOP.1393.UE.1010102.418"),"(kliknij lub Ctrl+kliknij)")</f>
        <v>(kliknij lub Ctrl+kliknij)</v>
      </c>
      <c r="H2624" s="0" t="s">
        <v>775</v>
      </c>
    </row>
    <row r="2625" customFormat="false" ht="12.8" hidden="false" customHeight="false" outlineLevel="0" collapsed="false">
      <c r="A2625" s="1" t="s">
        <v>1192</v>
      </c>
      <c r="C2625" s="3" t="s">
        <v>399</v>
      </c>
      <c r="D2625" s="4" t="s">
        <v>1441</v>
      </c>
      <c r="F2625" s="6" t="s">
        <v>1417</v>
      </c>
      <c r="G2625" s="7" t="str">
        <f aca="false">HYPERLINK(CONCATENATE("http://crfop.gdos.gov.pl/CRFOP/widok/viewuzytekekologiczny.jsf?fop=","PL.ZIPOP.1393.UE.1010102.419"),"(kliknij lub Ctrl+kliknij)")</f>
        <v>(kliknij lub Ctrl+kliknij)</v>
      </c>
      <c r="H2625" s="0" t="s">
        <v>775</v>
      </c>
    </row>
    <row r="2626" customFormat="false" ht="12.8" hidden="false" customHeight="false" outlineLevel="0" collapsed="false">
      <c r="A2626" s="1" t="s">
        <v>1192</v>
      </c>
      <c r="C2626" s="3" t="s">
        <v>399</v>
      </c>
      <c r="D2626" s="4" t="s">
        <v>1246</v>
      </c>
      <c r="F2626" s="6" t="s">
        <v>1417</v>
      </c>
      <c r="G2626" s="7" t="str">
        <f aca="false">HYPERLINK(CONCATENATE("http://crfop.gdos.gov.pl/CRFOP/widok/viewuzytekekologiczny.jsf?fop=","PL.ZIPOP.1393.UE.1010102.420"),"(kliknij lub Ctrl+kliknij)")</f>
        <v>(kliknij lub Ctrl+kliknij)</v>
      </c>
      <c r="H2626" s="0" t="s">
        <v>775</v>
      </c>
    </row>
    <row r="2627" customFormat="false" ht="12.8" hidden="false" customHeight="false" outlineLevel="0" collapsed="false">
      <c r="A2627" s="1" t="s">
        <v>1192</v>
      </c>
      <c r="C2627" s="3" t="s">
        <v>399</v>
      </c>
      <c r="D2627" s="4" t="s">
        <v>1442</v>
      </c>
      <c r="F2627" s="6" t="s">
        <v>1417</v>
      </c>
      <c r="G2627" s="7" t="str">
        <f aca="false">HYPERLINK(CONCATENATE("http://crfop.gdos.gov.pl/CRFOP/widok/viewuzytekekologiczny.jsf?fop=","PL.ZIPOP.1393.UE.1010102.421"),"(kliknij lub Ctrl+kliknij)")</f>
        <v>(kliknij lub Ctrl+kliknij)</v>
      </c>
      <c r="H2627" s="0" t="s">
        <v>775</v>
      </c>
    </row>
    <row r="2628" customFormat="false" ht="12.8" hidden="false" customHeight="false" outlineLevel="0" collapsed="false">
      <c r="A2628" s="1" t="s">
        <v>1192</v>
      </c>
      <c r="C2628" s="3" t="s">
        <v>1193</v>
      </c>
      <c r="D2628" s="4" t="s">
        <v>1277</v>
      </c>
      <c r="F2628" s="6" t="s">
        <v>1195</v>
      </c>
      <c r="G2628" s="7" t="str">
        <f aca="false">HYPERLINK(CONCATENATE("http://crfop.gdos.gov.pl/CRFOP/widok/viewuzytekekologiczny.jsf?fop=","PL.ZIPOP.1393.UE.1010102.422"),"(kliknij lub Ctrl+kliknij)")</f>
        <v>(kliknij lub Ctrl+kliknij)</v>
      </c>
      <c r="H2628" s="0" t="s">
        <v>775</v>
      </c>
    </row>
    <row r="2629" customFormat="false" ht="12.8" hidden="false" customHeight="false" outlineLevel="0" collapsed="false">
      <c r="A2629" s="1" t="s">
        <v>1192</v>
      </c>
      <c r="C2629" s="3" t="s">
        <v>1193</v>
      </c>
      <c r="D2629" s="4" t="s">
        <v>1220</v>
      </c>
      <c r="F2629" s="6" t="s">
        <v>1195</v>
      </c>
      <c r="G2629" s="7" t="str">
        <f aca="false">HYPERLINK(CONCATENATE("http://crfop.gdos.gov.pl/CRFOP/widok/viewuzytekekologiczny.jsf?fop=","PL.ZIPOP.1393.UE.1010102.423"),"(kliknij lub Ctrl+kliknij)")</f>
        <v>(kliknij lub Ctrl+kliknij)</v>
      </c>
      <c r="H2629" s="0" t="s">
        <v>775</v>
      </c>
    </row>
    <row r="2630" customFormat="false" ht="12.8" hidden="false" customHeight="false" outlineLevel="0" collapsed="false">
      <c r="A2630" s="1" t="s">
        <v>1192</v>
      </c>
      <c r="C2630" s="3" t="s">
        <v>1193</v>
      </c>
      <c r="D2630" s="4" t="s">
        <v>1214</v>
      </c>
      <c r="F2630" s="6" t="s">
        <v>1195</v>
      </c>
      <c r="G2630" s="7" t="str">
        <f aca="false">HYPERLINK(CONCATENATE("http://crfop.gdos.gov.pl/CRFOP/widok/viewuzytekekologiczny.jsf?fop=","PL.ZIPOP.1393.UE.1010102.424"),"(kliknij lub Ctrl+kliknij)")</f>
        <v>(kliknij lub Ctrl+kliknij)</v>
      </c>
      <c r="H2630" s="0" t="s">
        <v>775</v>
      </c>
    </row>
    <row r="2631" customFormat="false" ht="12.8" hidden="false" customHeight="false" outlineLevel="0" collapsed="false">
      <c r="A2631" s="1" t="s">
        <v>1192</v>
      </c>
      <c r="C2631" s="3" t="s">
        <v>1193</v>
      </c>
      <c r="D2631" s="4" t="s">
        <v>1281</v>
      </c>
      <c r="F2631" s="6" t="s">
        <v>1195</v>
      </c>
      <c r="G2631" s="7" t="str">
        <f aca="false">HYPERLINK(CONCATENATE("http://crfop.gdos.gov.pl/CRFOP/widok/viewuzytekekologiczny.jsf?fop=","PL.ZIPOP.1393.UE.1010102.425"),"(kliknij lub Ctrl+kliknij)")</f>
        <v>(kliknij lub Ctrl+kliknij)</v>
      </c>
      <c r="H2631" s="0" t="s">
        <v>775</v>
      </c>
    </row>
    <row r="2632" customFormat="false" ht="12.8" hidden="false" customHeight="false" outlineLevel="0" collapsed="false">
      <c r="A2632" s="1" t="s">
        <v>1192</v>
      </c>
      <c r="B2632" s="2" t="s">
        <v>1443</v>
      </c>
      <c r="C2632" s="3" t="s">
        <v>399</v>
      </c>
      <c r="D2632" s="4" t="s">
        <v>1239</v>
      </c>
      <c r="F2632" s="6" t="s">
        <v>1417</v>
      </c>
      <c r="G2632" s="7" t="str">
        <f aca="false">HYPERLINK(CONCATENATE("http://crfop.gdos.gov.pl/CRFOP/widok/viewuzytekekologiczny.jsf?fop=","PL.ZIPOP.1393.UE.1010113.426"),"(kliknij lub Ctrl+kliknij)")</f>
        <v>(kliknij lub Ctrl+kliknij)</v>
      </c>
      <c r="H2632" s="0" t="s">
        <v>778</v>
      </c>
    </row>
    <row r="2633" customFormat="false" ht="12.8" hidden="false" customHeight="false" outlineLevel="0" collapsed="false">
      <c r="A2633" s="1" t="s">
        <v>1192</v>
      </c>
      <c r="B2633" s="2" t="s">
        <v>1443</v>
      </c>
      <c r="C2633" s="3" t="s">
        <v>399</v>
      </c>
      <c r="D2633" s="4" t="s">
        <v>1352</v>
      </c>
      <c r="F2633" s="6" t="s">
        <v>1417</v>
      </c>
      <c r="G2633" s="7" t="str">
        <f aca="false">HYPERLINK(CONCATENATE("http://crfop.gdos.gov.pl/CRFOP/widok/viewuzytekekologiczny.jsf?fop=","PL.ZIPOP.1393.UE.1010113.427"),"(kliknij lub Ctrl+kliknij)")</f>
        <v>(kliknij lub Ctrl+kliknij)</v>
      </c>
      <c r="H2633" s="0" t="s">
        <v>778</v>
      </c>
    </row>
    <row r="2634" customFormat="false" ht="12.8" hidden="false" customHeight="false" outlineLevel="0" collapsed="false">
      <c r="A2634" s="1" t="s">
        <v>1192</v>
      </c>
      <c r="B2634" s="2" t="s">
        <v>1443</v>
      </c>
      <c r="C2634" s="3" t="s">
        <v>399</v>
      </c>
      <c r="D2634" s="4" t="s">
        <v>1389</v>
      </c>
      <c r="F2634" s="6" t="s">
        <v>1417</v>
      </c>
      <c r="G2634" s="7" t="str">
        <f aca="false">HYPERLINK(CONCATENATE("http://crfop.gdos.gov.pl/CRFOP/widok/viewuzytekekologiczny.jsf?fop=","PL.ZIPOP.1393.UE.1010113.428"),"(kliknij lub Ctrl+kliknij)")</f>
        <v>(kliknij lub Ctrl+kliknij)</v>
      </c>
      <c r="H2634" s="0" t="s">
        <v>778</v>
      </c>
    </row>
    <row r="2635" customFormat="false" ht="12.8" hidden="false" customHeight="false" outlineLevel="0" collapsed="false">
      <c r="A2635" s="1" t="s">
        <v>1192</v>
      </c>
      <c r="C2635" s="3" t="s">
        <v>399</v>
      </c>
      <c r="D2635" s="4" t="s">
        <v>1249</v>
      </c>
      <c r="F2635" s="6" t="s">
        <v>1417</v>
      </c>
      <c r="G2635" s="7" t="str">
        <f aca="false">HYPERLINK(CONCATENATE("http://crfop.gdos.gov.pl/CRFOP/widok/viewuzytekekologiczny.jsf?fop=","PL.ZIPOP.1393.UE.1010113.429"),"(kliknij lub Ctrl+kliknij)")</f>
        <v>(kliknij lub Ctrl+kliknij)</v>
      </c>
      <c r="H2635" s="0" t="s">
        <v>778</v>
      </c>
    </row>
    <row r="2636" customFormat="false" ht="12.8" hidden="false" customHeight="false" outlineLevel="0" collapsed="false">
      <c r="A2636" s="1" t="s">
        <v>1192</v>
      </c>
      <c r="C2636" s="3" t="s">
        <v>399</v>
      </c>
      <c r="D2636" s="4" t="s">
        <v>1214</v>
      </c>
      <c r="F2636" s="6" t="s">
        <v>1417</v>
      </c>
      <c r="G2636" s="7" t="str">
        <f aca="false">HYPERLINK(CONCATENATE("http://crfop.gdos.gov.pl/CRFOP/widok/viewuzytekekologiczny.jsf?fop=","PL.ZIPOP.1393.UE.1010113.430"),"(kliknij lub Ctrl+kliknij)")</f>
        <v>(kliknij lub Ctrl+kliknij)</v>
      </c>
      <c r="H2636" s="0" t="s">
        <v>778</v>
      </c>
    </row>
    <row r="2637" customFormat="false" ht="12.8" hidden="false" customHeight="false" outlineLevel="0" collapsed="false">
      <c r="A2637" s="1" t="s">
        <v>1192</v>
      </c>
      <c r="C2637" s="3" t="s">
        <v>399</v>
      </c>
      <c r="D2637" s="4" t="s">
        <v>1413</v>
      </c>
      <c r="F2637" s="6" t="s">
        <v>1417</v>
      </c>
      <c r="G2637" s="7" t="str">
        <f aca="false">HYPERLINK(CONCATENATE("http://crfop.gdos.gov.pl/CRFOP/widok/viewuzytekekologiczny.jsf?fop=","PL.ZIPOP.1393.UE.1010113.431"),"(kliknij lub Ctrl+kliknij)")</f>
        <v>(kliknij lub Ctrl+kliknij)</v>
      </c>
      <c r="H2637" s="0" t="s">
        <v>778</v>
      </c>
    </row>
    <row r="2638" customFormat="false" ht="12.8" hidden="false" customHeight="false" outlineLevel="0" collapsed="false">
      <c r="A2638" s="1" t="s">
        <v>1192</v>
      </c>
      <c r="C2638" s="3" t="s">
        <v>399</v>
      </c>
      <c r="D2638" s="4" t="s">
        <v>1442</v>
      </c>
      <c r="F2638" s="6" t="s">
        <v>1417</v>
      </c>
      <c r="G2638" s="7" t="str">
        <f aca="false">HYPERLINK(CONCATENATE("http://crfop.gdos.gov.pl/CRFOP/widok/viewuzytekekologiczny.jsf?fop=","PL.ZIPOP.1393.UE.1010113.432"),"(kliknij lub Ctrl+kliknij)")</f>
        <v>(kliknij lub Ctrl+kliknij)</v>
      </c>
      <c r="H2638" s="0" t="s">
        <v>778</v>
      </c>
    </row>
    <row r="2639" customFormat="false" ht="12.8" hidden="false" customHeight="false" outlineLevel="0" collapsed="false">
      <c r="A2639" s="1" t="s">
        <v>1192</v>
      </c>
      <c r="C2639" s="3" t="s">
        <v>399</v>
      </c>
      <c r="D2639" s="4" t="s">
        <v>1300</v>
      </c>
      <c r="F2639" s="6" t="s">
        <v>1417</v>
      </c>
      <c r="G2639" s="7" t="str">
        <f aca="false">HYPERLINK(CONCATENATE("http://crfop.gdos.gov.pl/CRFOP/widok/viewuzytekekologiczny.jsf?fop=","PL.ZIPOP.1393.UE.1010113.433"),"(kliknij lub Ctrl+kliknij)")</f>
        <v>(kliknij lub Ctrl+kliknij)</v>
      </c>
      <c r="H2639" s="0" t="s">
        <v>778</v>
      </c>
    </row>
    <row r="2640" customFormat="false" ht="12.8" hidden="false" customHeight="false" outlineLevel="0" collapsed="false">
      <c r="A2640" s="1" t="s">
        <v>1192</v>
      </c>
      <c r="C2640" s="3" t="s">
        <v>1193</v>
      </c>
      <c r="D2640" s="4" t="s">
        <v>1423</v>
      </c>
      <c r="F2640" s="6" t="s">
        <v>1195</v>
      </c>
      <c r="G2640" s="7" t="str">
        <f aca="false">HYPERLINK(CONCATENATE("http://crfop.gdos.gov.pl/CRFOP/widok/viewuzytekekologiczny.jsf?fop=","PL.ZIPOP.1393.UE.1010113.434"),"(kliknij lub Ctrl+kliknij)")</f>
        <v>(kliknij lub Ctrl+kliknij)</v>
      </c>
      <c r="H2640" s="0" t="s">
        <v>778</v>
      </c>
    </row>
    <row r="2641" customFormat="false" ht="12.8" hidden="false" customHeight="false" outlineLevel="0" collapsed="false">
      <c r="A2641" s="1" t="s">
        <v>1192</v>
      </c>
      <c r="C2641" s="3" t="s">
        <v>1193</v>
      </c>
      <c r="D2641" s="4" t="s">
        <v>1205</v>
      </c>
      <c r="F2641" s="6" t="s">
        <v>1195</v>
      </c>
      <c r="G2641" s="7" t="str">
        <f aca="false">HYPERLINK(CONCATENATE("http://crfop.gdos.gov.pl/CRFOP/widok/viewuzytekekologiczny.jsf?fop=","PL.ZIPOP.1393.UE.1010113.435"),"(kliknij lub Ctrl+kliknij)")</f>
        <v>(kliknij lub Ctrl+kliknij)</v>
      </c>
      <c r="H2641" s="0" t="s">
        <v>778</v>
      </c>
    </row>
    <row r="2642" customFormat="false" ht="12.8" hidden="false" customHeight="false" outlineLevel="0" collapsed="false">
      <c r="A2642" s="1" t="s">
        <v>1192</v>
      </c>
      <c r="C2642" s="3" t="s">
        <v>1193</v>
      </c>
      <c r="D2642" s="4" t="s">
        <v>1444</v>
      </c>
      <c r="F2642" s="6" t="s">
        <v>1195</v>
      </c>
      <c r="G2642" s="7" t="str">
        <f aca="false">HYPERLINK(CONCATENATE("http://crfop.gdos.gov.pl/CRFOP/widok/viewuzytekekologiczny.jsf?fop=","PL.ZIPOP.1393.UE.1010113.436"),"(kliknij lub Ctrl+kliknij)")</f>
        <v>(kliknij lub Ctrl+kliknij)</v>
      </c>
      <c r="H2642" s="0" t="s">
        <v>778</v>
      </c>
    </row>
    <row r="2643" customFormat="false" ht="12.8" hidden="false" customHeight="false" outlineLevel="0" collapsed="false">
      <c r="A2643" s="1" t="s">
        <v>1192</v>
      </c>
      <c r="C2643" s="3" t="s">
        <v>1193</v>
      </c>
      <c r="D2643" s="4" t="s">
        <v>1227</v>
      </c>
      <c r="F2643" s="6" t="s">
        <v>1195</v>
      </c>
      <c r="G2643" s="7" t="str">
        <f aca="false">HYPERLINK(CONCATENATE("http://crfop.gdos.gov.pl/CRFOP/widok/viewuzytekekologiczny.jsf?fop=","PL.ZIPOP.1393.UE.1010113.437"),"(kliknij lub Ctrl+kliknij)")</f>
        <v>(kliknij lub Ctrl+kliknij)</v>
      </c>
      <c r="H2643" s="0" t="s">
        <v>778</v>
      </c>
    </row>
    <row r="2644" customFormat="false" ht="12.8" hidden="false" customHeight="false" outlineLevel="0" collapsed="false">
      <c r="A2644" s="1" t="s">
        <v>1192</v>
      </c>
      <c r="C2644" s="3" t="s">
        <v>1193</v>
      </c>
      <c r="D2644" s="4" t="s">
        <v>1340</v>
      </c>
      <c r="F2644" s="6" t="s">
        <v>1195</v>
      </c>
      <c r="G2644" s="7" t="str">
        <f aca="false">HYPERLINK(CONCATENATE("http://crfop.gdos.gov.pl/CRFOP/widok/viewuzytekekologiczny.jsf?fop=","PL.ZIPOP.1393.UE.1010113.438"),"(kliknij lub Ctrl+kliknij)")</f>
        <v>(kliknij lub Ctrl+kliknij)</v>
      </c>
      <c r="H2644" s="0" t="s">
        <v>778</v>
      </c>
    </row>
    <row r="2645" customFormat="false" ht="12.8" hidden="false" customHeight="false" outlineLevel="0" collapsed="false">
      <c r="A2645" s="1" t="s">
        <v>1192</v>
      </c>
      <c r="C2645" s="3" t="s">
        <v>1193</v>
      </c>
      <c r="D2645" s="4" t="s">
        <v>1200</v>
      </c>
      <c r="F2645" s="6" t="s">
        <v>1195</v>
      </c>
      <c r="G2645" s="7" t="str">
        <f aca="false">HYPERLINK(CONCATENATE("http://crfop.gdos.gov.pl/CRFOP/widok/viewuzytekekologiczny.jsf?fop=","PL.ZIPOP.1393.UE.1010113.439"),"(kliknij lub Ctrl+kliknij)")</f>
        <v>(kliknij lub Ctrl+kliknij)</v>
      </c>
      <c r="H2645" s="0" t="s">
        <v>778</v>
      </c>
    </row>
    <row r="2646" customFormat="false" ht="12.8" hidden="false" customHeight="false" outlineLevel="0" collapsed="false">
      <c r="A2646" s="1" t="s">
        <v>1192</v>
      </c>
      <c r="B2646" s="2" t="s">
        <v>1445</v>
      </c>
      <c r="C2646" s="3" t="s">
        <v>1446</v>
      </c>
      <c r="D2646" s="4" t="s">
        <v>1447</v>
      </c>
      <c r="F2646" s="6" t="s">
        <v>1448</v>
      </c>
      <c r="G2646" s="7" t="str">
        <f aca="false">HYPERLINK(CONCATENATE("http://crfop.gdos.gov.pl/CRFOP/widok/viewuzytekekologiczny.jsf?fop=","PL.ZIPOP.1393.UE.1010113.440"),"(kliknij lub Ctrl+kliknij)")</f>
        <v>(kliknij lub Ctrl+kliknij)</v>
      </c>
      <c r="H2646" s="0" t="s">
        <v>778</v>
      </c>
    </row>
    <row r="2647" customFormat="false" ht="12.8" hidden="false" customHeight="false" outlineLevel="0" collapsed="false">
      <c r="A2647" s="1" t="s">
        <v>1192</v>
      </c>
      <c r="C2647" s="3" t="s">
        <v>1449</v>
      </c>
      <c r="D2647" s="4" t="s">
        <v>1318</v>
      </c>
      <c r="F2647" s="6" t="s">
        <v>1450</v>
      </c>
      <c r="G2647" s="7" t="str">
        <f aca="false">HYPERLINK(CONCATENATE("http://crfop.gdos.gov.pl/CRFOP/widok/viewuzytekekologiczny.jsf?fop=","PL.ZIPOP.1393.UE.1011043.740"),"(kliknij lub Ctrl+kliknij)")</f>
        <v>(kliknij lub Ctrl+kliknij)</v>
      </c>
      <c r="H2647" s="0" t="s">
        <v>787</v>
      </c>
    </row>
    <row r="2648" customFormat="false" ht="12.8" hidden="false" customHeight="false" outlineLevel="0" collapsed="false">
      <c r="A2648" s="1" t="s">
        <v>1192</v>
      </c>
      <c r="C2648" s="3" t="s">
        <v>1449</v>
      </c>
      <c r="D2648" s="4" t="s">
        <v>1451</v>
      </c>
      <c r="F2648" s="6" t="s">
        <v>1452</v>
      </c>
      <c r="G2648" s="7" t="str">
        <f aca="false">HYPERLINK(CONCATENATE("http://crfop.gdos.gov.pl/CRFOP/widok/viewuzytekekologiczny.jsf?fop=","PL.ZIPOP.1393.UE.1011043.741"),"(kliknij lub Ctrl+kliknij)")</f>
        <v>(kliknij lub Ctrl+kliknij)</v>
      </c>
      <c r="H2648" s="0" t="s">
        <v>787</v>
      </c>
    </row>
    <row r="2649" customFormat="false" ht="12.8" hidden="false" customHeight="false" outlineLevel="0" collapsed="false">
      <c r="A2649" s="1" t="s">
        <v>1192</v>
      </c>
      <c r="C2649" s="3" t="s">
        <v>1449</v>
      </c>
      <c r="D2649" s="4" t="s">
        <v>1453</v>
      </c>
      <c r="F2649" s="6" t="s">
        <v>1452</v>
      </c>
      <c r="G2649" s="7" t="str">
        <f aca="false">HYPERLINK(CONCATENATE("http://crfop.gdos.gov.pl/CRFOP/widok/viewuzytekekologiczny.jsf?fop=","PL.ZIPOP.1393.UE.1011043.745"),"(kliknij lub Ctrl+kliknij)")</f>
        <v>(kliknij lub Ctrl+kliknij)</v>
      </c>
      <c r="H2649" s="0" t="s">
        <v>787</v>
      </c>
    </row>
    <row r="2650" customFormat="false" ht="12.8" hidden="false" customHeight="false" outlineLevel="0" collapsed="false">
      <c r="A2650" s="1" t="s">
        <v>1192</v>
      </c>
      <c r="C2650" s="3" t="s">
        <v>1449</v>
      </c>
      <c r="D2650" s="4" t="s">
        <v>1454</v>
      </c>
      <c r="F2650" s="6" t="s">
        <v>1452</v>
      </c>
      <c r="G2650" s="7" t="str">
        <f aca="false">HYPERLINK(CONCATENATE("http://crfop.gdos.gov.pl/CRFOP/widok/viewuzytekekologiczny.jsf?fop=","PL.ZIPOP.1393.UE.1011043.746"),"(kliknij lub Ctrl+kliknij)")</f>
        <v>(kliknij lub Ctrl+kliknij)</v>
      </c>
      <c r="H2650" s="0" t="s">
        <v>787</v>
      </c>
    </row>
    <row r="2651" customFormat="false" ht="12.8" hidden="false" customHeight="false" outlineLevel="0" collapsed="false">
      <c r="A2651" s="1" t="s">
        <v>1192</v>
      </c>
      <c r="C2651" s="3" t="s">
        <v>1449</v>
      </c>
      <c r="D2651" s="4" t="s">
        <v>1236</v>
      </c>
      <c r="F2651" s="6" t="s">
        <v>1452</v>
      </c>
      <c r="G2651" s="7" t="str">
        <f aca="false">HYPERLINK(CONCATENATE("http://crfop.gdos.gov.pl/CRFOP/widok/viewuzytekekologiczny.jsf?fop=","PL.ZIPOP.1393.UE.1011043.747"),"(kliknij lub Ctrl+kliknij)")</f>
        <v>(kliknij lub Ctrl+kliknij)</v>
      </c>
      <c r="H2651" s="0" t="s">
        <v>787</v>
      </c>
    </row>
    <row r="2652" customFormat="false" ht="12.8" hidden="false" customHeight="false" outlineLevel="0" collapsed="false">
      <c r="A2652" s="1" t="s">
        <v>1192</v>
      </c>
      <c r="C2652" s="3" t="s">
        <v>574</v>
      </c>
      <c r="D2652" s="4" t="s">
        <v>1358</v>
      </c>
      <c r="F2652" s="6" t="s">
        <v>1198</v>
      </c>
      <c r="G2652" s="7" t="str">
        <f aca="false">HYPERLINK(CONCATENATE("http://crfop.gdos.gov.pl/CRFOP/widok/viewuzytekekologiczny.jsf?fop=","PL.ZIPOP.1393.UE.1012042.441"),"(kliknij lub Ctrl+kliknij)")</f>
        <v>(kliknij lub Ctrl+kliknij)</v>
      </c>
      <c r="H2652" s="0" t="s">
        <v>807</v>
      </c>
    </row>
    <row r="2653" customFormat="false" ht="12.8" hidden="false" customHeight="false" outlineLevel="0" collapsed="false">
      <c r="A2653" s="1" t="s">
        <v>1192</v>
      </c>
      <c r="C2653" s="3" t="s">
        <v>574</v>
      </c>
      <c r="D2653" s="4" t="s">
        <v>1383</v>
      </c>
      <c r="F2653" s="6" t="s">
        <v>1195</v>
      </c>
      <c r="G2653" s="7" t="str">
        <f aca="false">HYPERLINK(CONCATENATE("http://crfop.gdos.gov.pl/CRFOP/widok/viewuzytekekologiczny.jsf?fop=","PL.ZIPOP.1393.UE.1012042.442"),"(kliknij lub Ctrl+kliknij)")</f>
        <v>(kliknij lub Ctrl+kliknij)</v>
      </c>
      <c r="H2653" s="0" t="s">
        <v>807</v>
      </c>
    </row>
    <row r="2654" customFormat="false" ht="12.8" hidden="false" customHeight="false" outlineLevel="0" collapsed="false">
      <c r="A2654" s="1" t="s">
        <v>1192</v>
      </c>
      <c r="C2654" s="3" t="s">
        <v>1193</v>
      </c>
      <c r="D2654" s="4" t="s">
        <v>1455</v>
      </c>
      <c r="F2654" s="6" t="s">
        <v>1195</v>
      </c>
      <c r="G2654" s="7" t="str">
        <f aca="false">HYPERLINK(CONCATENATE("http://crfop.gdos.gov.pl/CRFOP/widok/viewuzytekekologiczny.jsf?fop=","PL.ZIPOP.1393.UE.1012053.590"),"(kliknij lub Ctrl+kliknij)")</f>
        <v>(kliknij lub Ctrl+kliknij)</v>
      </c>
      <c r="H2654" s="0" t="s">
        <v>808</v>
      </c>
    </row>
    <row r="2655" customFormat="false" ht="12.8" hidden="false" customHeight="false" outlineLevel="0" collapsed="false">
      <c r="A2655" s="1" t="s">
        <v>1192</v>
      </c>
      <c r="C2655" s="3" t="s">
        <v>1193</v>
      </c>
      <c r="D2655" s="4" t="s">
        <v>1444</v>
      </c>
      <c r="F2655" s="6" t="s">
        <v>1195</v>
      </c>
      <c r="G2655" s="7" t="str">
        <f aca="false">HYPERLINK(CONCATENATE("http://crfop.gdos.gov.pl/CRFOP/widok/viewuzytekekologiczny.jsf?fop=","PL.ZIPOP.1393.UE.1012053.591"),"(kliknij lub Ctrl+kliknij)")</f>
        <v>(kliknij lub Ctrl+kliknij)</v>
      </c>
      <c r="H2655" s="0" t="s">
        <v>808</v>
      </c>
    </row>
    <row r="2656" customFormat="false" ht="12.8" hidden="false" customHeight="false" outlineLevel="0" collapsed="false">
      <c r="A2656" s="1" t="s">
        <v>1192</v>
      </c>
      <c r="C2656" s="3" t="s">
        <v>1193</v>
      </c>
      <c r="D2656" s="4" t="s">
        <v>1456</v>
      </c>
      <c r="F2656" s="6" t="s">
        <v>1195</v>
      </c>
      <c r="G2656" s="7" t="str">
        <f aca="false">HYPERLINK(CONCATENATE("http://crfop.gdos.gov.pl/CRFOP/widok/viewuzytekekologiczny.jsf?fop=","PL.ZIPOP.1393.UE.1012053.592"),"(kliknij lub Ctrl+kliknij)")</f>
        <v>(kliknij lub Ctrl+kliknij)</v>
      </c>
      <c r="H2656" s="0" t="s">
        <v>808</v>
      </c>
    </row>
    <row r="2657" customFormat="false" ht="12.8" hidden="false" customHeight="false" outlineLevel="0" collapsed="false">
      <c r="A2657" s="1" t="s">
        <v>1192</v>
      </c>
      <c r="C2657" s="3" t="s">
        <v>1193</v>
      </c>
      <c r="D2657" s="4" t="s">
        <v>1457</v>
      </c>
      <c r="F2657" s="6" t="s">
        <v>1195</v>
      </c>
      <c r="G2657" s="7" t="str">
        <f aca="false">HYPERLINK(CONCATENATE("http://crfop.gdos.gov.pl/CRFOP/widok/viewuzytekekologiczny.jsf?fop=","PL.ZIPOP.1393.UE.1012053.593"),"(kliknij lub Ctrl+kliknij)")</f>
        <v>(kliknij lub Ctrl+kliknij)</v>
      </c>
      <c r="H2657" s="0" t="s">
        <v>808</v>
      </c>
    </row>
    <row r="2658" customFormat="false" ht="12.8" hidden="false" customHeight="false" outlineLevel="0" collapsed="false">
      <c r="A2658" s="1" t="s">
        <v>1192</v>
      </c>
      <c r="C2658" s="3" t="s">
        <v>574</v>
      </c>
      <c r="D2658" s="4" t="s">
        <v>1359</v>
      </c>
      <c r="F2658" s="6" t="s">
        <v>1198</v>
      </c>
      <c r="G2658" s="7" t="str">
        <f aca="false">HYPERLINK(CONCATENATE("http://crfop.gdos.gov.pl/CRFOP/widok/viewuzytekekologiczny.jsf?fop=","PL.ZIPOP.1393.UE.1012062.443"),"(kliknij lub Ctrl+kliknij)")</f>
        <v>(kliknij lub Ctrl+kliknij)</v>
      </c>
      <c r="H2658" s="0" t="s">
        <v>193</v>
      </c>
    </row>
    <row r="2659" customFormat="false" ht="12.8" hidden="false" customHeight="false" outlineLevel="0" collapsed="false">
      <c r="A2659" s="1" t="s">
        <v>1192</v>
      </c>
      <c r="C2659" s="3" t="s">
        <v>574</v>
      </c>
      <c r="D2659" s="4" t="s">
        <v>1458</v>
      </c>
      <c r="F2659" s="6" t="s">
        <v>1198</v>
      </c>
      <c r="G2659" s="7" t="str">
        <f aca="false">HYPERLINK(CONCATENATE("http://crfop.gdos.gov.pl/CRFOP/widok/viewuzytekekologiczny.jsf?fop=","PL.ZIPOP.1393.UE.1012062.444"),"(kliknij lub Ctrl+kliknij)")</f>
        <v>(kliknij lub Ctrl+kliknij)</v>
      </c>
      <c r="H2659" s="0" t="s">
        <v>193</v>
      </c>
    </row>
    <row r="2660" customFormat="false" ht="12.8" hidden="false" customHeight="false" outlineLevel="0" collapsed="false">
      <c r="A2660" s="1" t="s">
        <v>1192</v>
      </c>
      <c r="C2660" s="3" t="s">
        <v>574</v>
      </c>
      <c r="D2660" s="4" t="s">
        <v>1459</v>
      </c>
      <c r="F2660" s="6" t="s">
        <v>1198</v>
      </c>
      <c r="G2660" s="7" t="str">
        <f aca="false">HYPERLINK(CONCATENATE("http://crfop.gdos.gov.pl/CRFOP/widok/viewuzytekekologiczny.jsf?fop=","PL.ZIPOP.1393.UE.1012062.445"),"(kliknij lub Ctrl+kliknij)")</f>
        <v>(kliknij lub Ctrl+kliknij)</v>
      </c>
      <c r="H2660" s="0" t="s">
        <v>193</v>
      </c>
    </row>
    <row r="2661" customFormat="false" ht="12.8" hidden="false" customHeight="false" outlineLevel="0" collapsed="false">
      <c r="A2661" s="1" t="s">
        <v>1192</v>
      </c>
      <c r="C2661" s="3" t="s">
        <v>574</v>
      </c>
      <c r="D2661" s="4" t="s">
        <v>1389</v>
      </c>
      <c r="F2661" s="6" t="s">
        <v>1198</v>
      </c>
      <c r="G2661" s="7" t="str">
        <f aca="false">HYPERLINK(CONCATENATE("http://crfop.gdos.gov.pl/CRFOP/widok/viewuzytekekologiczny.jsf?fop=","PL.ZIPOP.1393.UE.1012062.446"),"(kliknij lub Ctrl+kliknij)")</f>
        <v>(kliknij lub Ctrl+kliknij)</v>
      </c>
      <c r="H2661" s="0" t="s">
        <v>193</v>
      </c>
    </row>
    <row r="2662" customFormat="false" ht="12.8" hidden="false" customHeight="false" outlineLevel="0" collapsed="false">
      <c r="A2662" s="1" t="s">
        <v>1192</v>
      </c>
      <c r="C2662" s="3" t="s">
        <v>574</v>
      </c>
      <c r="D2662" s="4" t="s">
        <v>1460</v>
      </c>
      <c r="F2662" s="6" t="s">
        <v>1198</v>
      </c>
      <c r="G2662" s="7" t="str">
        <f aca="false">HYPERLINK(CONCATENATE("http://crfop.gdos.gov.pl/CRFOP/widok/viewuzytekekologiczny.jsf?fop=","PL.ZIPOP.1393.UE.1012062.447"),"(kliknij lub Ctrl+kliknij)")</f>
        <v>(kliknij lub Ctrl+kliknij)</v>
      </c>
      <c r="H2662" s="0" t="s">
        <v>193</v>
      </c>
    </row>
    <row r="2663" customFormat="false" ht="12.8" hidden="false" customHeight="false" outlineLevel="0" collapsed="false">
      <c r="A2663" s="1" t="s">
        <v>1192</v>
      </c>
      <c r="C2663" s="3" t="s">
        <v>574</v>
      </c>
      <c r="D2663" s="4" t="s">
        <v>1461</v>
      </c>
      <c r="F2663" s="6" t="s">
        <v>1198</v>
      </c>
      <c r="G2663" s="7" t="str">
        <f aca="false">HYPERLINK(CONCATENATE("http://crfop.gdos.gov.pl/CRFOP/widok/viewuzytekekologiczny.jsf?fop=","PL.ZIPOP.1393.UE.1012062.448"),"(kliknij lub Ctrl+kliknij)")</f>
        <v>(kliknij lub Ctrl+kliknij)</v>
      </c>
      <c r="H2663" s="0" t="s">
        <v>193</v>
      </c>
    </row>
    <row r="2664" customFormat="false" ht="12.8" hidden="false" customHeight="false" outlineLevel="0" collapsed="false">
      <c r="A2664" s="1" t="s">
        <v>1192</v>
      </c>
      <c r="C2664" s="3" t="s">
        <v>574</v>
      </c>
      <c r="D2664" s="4" t="s">
        <v>1229</v>
      </c>
      <c r="F2664" s="6" t="s">
        <v>1198</v>
      </c>
      <c r="G2664" s="7" t="str">
        <f aca="false">HYPERLINK(CONCATENATE("http://crfop.gdos.gov.pl/CRFOP/widok/viewuzytekekologiczny.jsf?fop=","PL.ZIPOP.1393.UE.1012062.449"),"(kliknij lub Ctrl+kliknij)")</f>
        <v>(kliknij lub Ctrl+kliknij)</v>
      </c>
      <c r="H2664" s="0" t="s">
        <v>193</v>
      </c>
    </row>
    <row r="2665" customFormat="false" ht="12.8" hidden="false" customHeight="false" outlineLevel="0" collapsed="false">
      <c r="A2665" s="1" t="s">
        <v>1192</v>
      </c>
      <c r="C2665" s="3" t="s">
        <v>574</v>
      </c>
      <c r="D2665" s="4" t="s">
        <v>1214</v>
      </c>
      <c r="F2665" s="6" t="s">
        <v>1198</v>
      </c>
      <c r="G2665" s="7" t="str">
        <f aca="false">HYPERLINK(CONCATENATE("http://crfop.gdos.gov.pl/CRFOP/widok/viewuzytekekologiczny.jsf?fop=","PL.ZIPOP.1393.UE.1012062.450"),"(kliknij lub Ctrl+kliknij)")</f>
        <v>(kliknij lub Ctrl+kliknij)</v>
      </c>
      <c r="H2665" s="0" t="s">
        <v>193</v>
      </c>
    </row>
    <row r="2666" customFormat="false" ht="12.8" hidden="false" customHeight="false" outlineLevel="0" collapsed="false">
      <c r="A2666" s="1" t="s">
        <v>1192</v>
      </c>
      <c r="C2666" s="3" t="s">
        <v>574</v>
      </c>
      <c r="D2666" s="4" t="s">
        <v>1359</v>
      </c>
      <c r="F2666" s="6" t="s">
        <v>1198</v>
      </c>
      <c r="G2666" s="7" t="str">
        <f aca="false">HYPERLINK(CONCATENATE("http://crfop.gdos.gov.pl/CRFOP/widok/viewuzytekekologiczny.jsf?fop=","PL.ZIPOP.1393.UE.1012062.451"),"(kliknij lub Ctrl+kliknij)")</f>
        <v>(kliknij lub Ctrl+kliknij)</v>
      </c>
      <c r="H2666" s="0" t="s">
        <v>193</v>
      </c>
    </row>
    <row r="2667" customFormat="false" ht="12.8" hidden="false" customHeight="false" outlineLevel="0" collapsed="false">
      <c r="A2667" s="1" t="s">
        <v>1192</v>
      </c>
      <c r="C2667" s="3" t="s">
        <v>574</v>
      </c>
      <c r="D2667" s="4" t="s">
        <v>1235</v>
      </c>
      <c r="F2667" s="6" t="s">
        <v>1198</v>
      </c>
      <c r="G2667" s="7" t="str">
        <f aca="false">HYPERLINK(CONCATENATE("http://crfop.gdos.gov.pl/CRFOP/widok/viewuzytekekologiczny.jsf?fop=","PL.ZIPOP.1393.UE.1012062.452"),"(kliknij lub Ctrl+kliknij)")</f>
        <v>(kliknij lub Ctrl+kliknij)</v>
      </c>
      <c r="H2667" s="0" t="s">
        <v>193</v>
      </c>
    </row>
    <row r="2668" customFormat="false" ht="12.8" hidden="false" customHeight="false" outlineLevel="0" collapsed="false">
      <c r="A2668" s="1" t="s">
        <v>1192</v>
      </c>
      <c r="C2668" s="3" t="s">
        <v>574</v>
      </c>
      <c r="D2668" s="4" t="s">
        <v>1462</v>
      </c>
      <c r="F2668" s="6" t="s">
        <v>1198</v>
      </c>
      <c r="G2668" s="7" t="str">
        <f aca="false">HYPERLINK(CONCATENATE("http://crfop.gdos.gov.pl/CRFOP/widok/viewuzytekekologiczny.jsf?fop=","PL.ZIPOP.1393.UE.1012062.453"),"(kliknij lub Ctrl+kliknij)")</f>
        <v>(kliknij lub Ctrl+kliknij)</v>
      </c>
      <c r="H2668" s="0" t="s">
        <v>193</v>
      </c>
    </row>
    <row r="2669" customFormat="false" ht="12.8" hidden="false" customHeight="false" outlineLevel="0" collapsed="false">
      <c r="A2669" s="1" t="s">
        <v>1192</v>
      </c>
      <c r="C2669" s="3" t="s">
        <v>574</v>
      </c>
      <c r="D2669" s="4" t="s">
        <v>1196</v>
      </c>
      <c r="F2669" s="6" t="s">
        <v>1198</v>
      </c>
      <c r="G2669" s="7" t="str">
        <f aca="false">HYPERLINK(CONCATENATE("http://crfop.gdos.gov.pl/CRFOP/widok/viewuzytekekologiczny.jsf?fop=","PL.ZIPOP.1393.UE.1012062.454"),"(kliknij lub Ctrl+kliknij)")</f>
        <v>(kliknij lub Ctrl+kliknij)</v>
      </c>
      <c r="H2669" s="0" t="s">
        <v>193</v>
      </c>
    </row>
    <row r="2670" customFormat="false" ht="12.8" hidden="false" customHeight="false" outlineLevel="0" collapsed="false">
      <c r="A2670" s="1" t="s">
        <v>1192</v>
      </c>
      <c r="C2670" s="3" t="s">
        <v>574</v>
      </c>
      <c r="D2670" s="4" t="s">
        <v>1201</v>
      </c>
      <c r="F2670" s="6" t="s">
        <v>1198</v>
      </c>
      <c r="G2670" s="7" t="str">
        <f aca="false">HYPERLINK(CONCATENATE("http://crfop.gdos.gov.pl/CRFOP/widok/viewuzytekekologiczny.jsf?fop=","PL.ZIPOP.1393.UE.1012072.455"),"(kliknij lub Ctrl+kliknij)")</f>
        <v>(kliknij lub Ctrl+kliknij)</v>
      </c>
      <c r="H2670" s="0" t="s">
        <v>1463</v>
      </c>
    </row>
    <row r="2671" customFormat="false" ht="12.8" hidden="false" customHeight="false" outlineLevel="0" collapsed="false">
      <c r="A2671" s="1" t="s">
        <v>1192</v>
      </c>
      <c r="C2671" s="3" t="s">
        <v>574</v>
      </c>
      <c r="D2671" s="4" t="s">
        <v>1383</v>
      </c>
      <c r="F2671" s="6" t="s">
        <v>1198</v>
      </c>
      <c r="G2671" s="7" t="str">
        <f aca="false">HYPERLINK(CONCATENATE("http://crfop.gdos.gov.pl/CRFOP/widok/viewuzytekekologiczny.jsf?fop=","PL.ZIPOP.1393.UE.1012072.456"),"(kliknij lub Ctrl+kliknij)")</f>
        <v>(kliknij lub Ctrl+kliknij)</v>
      </c>
      <c r="H2671" s="0" t="s">
        <v>1463</v>
      </c>
    </row>
    <row r="2672" customFormat="false" ht="12.8" hidden="false" customHeight="false" outlineLevel="0" collapsed="false">
      <c r="A2672" s="1" t="s">
        <v>1192</v>
      </c>
      <c r="C2672" s="3" t="s">
        <v>574</v>
      </c>
      <c r="D2672" s="4" t="s">
        <v>1464</v>
      </c>
      <c r="F2672" s="6" t="s">
        <v>1198</v>
      </c>
      <c r="G2672" s="7" t="str">
        <f aca="false">HYPERLINK(CONCATENATE("http://crfop.gdos.gov.pl/CRFOP/widok/viewuzytekekologiczny.jsf?fop=","PL.ZIPOP.1393.UE.1012072.457"),"(kliknij lub Ctrl+kliknij)")</f>
        <v>(kliknij lub Ctrl+kliknij)</v>
      </c>
      <c r="H2672" s="0" t="s">
        <v>1463</v>
      </c>
    </row>
    <row r="2673" customFormat="false" ht="12.8" hidden="false" customHeight="false" outlineLevel="0" collapsed="false">
      <c r="A2673" s="1" t="s">
        <v>1192</v>
      </c>
      <c r="C2673" s="3" t="s">
        <v>574</v>
      </c>
      <c r="D2673" s="4" t="s">
        <v>1364</v>
      </c>
      <c r="F2673" s="6" t="s">
        <v>1198</v>
      </c>
      <c r="G2673" s="7" t="str">
        <f aca="false">HYPERLINK(CONCATENATE("http://crfop.gdos.gov.pl/CRFOP/widok/viewuzytekekologiczny.jsf?fop=","PL.ZIPOP.1393.UE.1012102.458"),"(kliknij lub Ctrl+kliknij)")</f>
        <v>(kliknij lub Ctrl+kliknij)</v>
      </c>
      <c r="H2673" s="0" t="s">
        <v>813</v>
      </c>
    </row>
    <row r="2674" customFormat="false" ht="12.8" hidden="false" customHeight="false" outlineLevel="0" collapsed="false">
      <c r="A2674" s="1" t="s">
        <v>1192</v>
      </c>
      <c r="C2674" s="3" t="s">
        <v>574</v>
      </c>
      <c r="D2674" s="4" t="s">
        <v>1318</v>
      </c>
      <c r="F2674" s="6" t="s">
        <v>1198</v>
      </c>
      <c r="G2674" s="7" t="str">
        <f aca="false">HYPERLINK(CONCATENATE("http://crfop.gdos.gov.pl/CRFOP/widok/viewuzytekekologiczny.jsf?fop=","PL.ZIPOP.1393.UE.1012102.459"),"(kliknij lub Ctrl+kliknij)")</f>
        <v>(kliknij lub Ctrl+kliknij)</v>
      </c>
      <c r="H2674" s="0" t="s">
        <v>813</v>
      </c>
    </row>
    <row r="2675" customFormat="false" ht="12.8" hidden="false" customHeight="false" outlineLevel="0" collapsed="false">
      <c r="A2675" s="1" t="s">
        <v>1192</v>
      </c>
      <c r="C2675" s="3" t="s">
        <v>574</v>
      </c>
      <c r="D2675" s="4" t="s">
        <v>1272</v>
      </c>
      <c r="F2675" s="6" t="s">
        <v>1198</v>
      </c>
      <c r="G2675" s="7" t="str">
        <f aca="false">HYPERLINK(CONCATENATE("http://crfop.gdos.gov.pl/CRFOP/widok/viewuzytekekologiczny.jsf?fop=","PL.ZIPOP.1393.UE.1012113.195"),"(kliknij lub Ctrl+kliknij)")</f>
        <v>(kliknij lub Ctrl+kliknij)</v>
      </c>
      <c r="H2675" s="0" t="s">
        <v>816</v>
      </c>
    </row>
    <row r="2676" customFormat="false" ht="12.8" hidden="false" customHeight="false" outlineLevel="0" collapsed="false">
      <c r="A2676" s="1" t="s">
        <v>1192</v>
      </c>
      <c r="C2676" s="3" t="s">
        <v>574</v>
      </c>
      <c r="D2676" s="4" t="s">
        <v>1253</v>
      </c>
      <c r="F2676" s="6" t="s">
        <v>1198</v>
      </c>
      <c r="G2676" s="7" t="str">
        <f aca="false">HYPERLINK(CONCATENATE("http://crfop.gdos.gov.pl/CRFOP/widok/viewuzytekekologiczny.jsf?fop=","PL.ZIPOP.1393.UE.1012113.460"),"(kliknij lub Ctrl+kliknij)")</f>
        <v>(kliknij lub Ctrl+kliknij)</v>
      </c>
      <c r="H2676" s="0" t="s">
        <v>816</v>
      </c>
    </row>
    <row r="2677" customFormat="false" ht="12.8" hidden="false" customHeight="false" outlineLevel="0" collapsed="false">
      <c r="A2677" s="1" t="s">
        <v>1192</v>
      </c>
      <c r="C2677" s="3" t="s">
        <v>574</v>
      </c>
      <c r="D2677" s="4" t="s">
        <v>1249</v>
      </c>
      <c r="F2677" s="6" t="s">
        <v>1198</v>
      </c>
      <c r="G2677" s="7" t="str">
        <f aca="false">HYPERLINK(CONCATENATE("http://crfop.gdos.gov.pl/CRFOP/widok/viewuzytekekologiczny.jsf?fop=","PL.ZIPOP.1393.UE.1012113.461"),"(kliknij lub Ctrl+kliknij)")</f>
        <v>(kliknij lub Ctrl+kliknij)</v>
      </c>
      <c r="H2677" s="0" t="s">
        <v>816</v>
      </c>
    </row>
    <row r="2678" customFormat="false" ht="12.8" hidden="false" customHeight="false" outlineLevel="0" collapsed="false">
      <c r="A2678" s="1" t="s">
        <v>1192</v>
      </c>
      <c r="C2678" s="3" t="s">
        <v>574</v>
      </c>
      <c r="D2678" s="4" t="s">
        <v>1302</v>
      </c>
      <c r="F2678" s="6" t="s">
        <v>1198</v>
      </c>
      <c r="G2678" s="7" t="str">
        <f aca="false">HYPERLINK(CONCATENATE("http://crfop.gdos.gov.pl/CRFOP/widok/viewuzytekekologiczny.jsf?fop=","PL.ZIPOP.1393.UE.1012113.462"),"(kliknij lub Ctrl+kliknij)")</f>
        <v>(kliknij lub Ctrl+kliknij)</v>
      </c>
      <c r="H2678" s="0" t="s">
        <v>816</v>
      </c>
    </row>
    <row r="2679" customFormat="false" ht="12.8" hidden="false" customHeight="false" outlineLevel="0" collapsed="false">
      <c r="A2679" s="1" t="s">
        <v>1192</v>
      </c>
      <c r="C2679" s="3" t="s">
        <v>574</v>
      </c>
      <c r="D2679" s="4" t="s">
        <v>1362</v>
      </c>
      <c r="F2679" s="6" t="s">
        <v>1198</v>
      </c>
      <c r="G2679" s="7" t="str">
        <f aca="false">HYPERLINK(CONCATENATE("http://crfop.gdos.gov.pl/CRFOP/widok/viewuzytekekologiczny.jsf?fop=","PL.ZIPOP.1393.UE.1012113.463"),"(kliknij lub Ctrl+kliknij)")</f>
        <v>(kliknij lub Ctrl+kliknij)</v>
      </c>
      <c r="H2679" s="0" t="s">
        <v>816</v>
      </c>
    </row>
    <row r="2680" customFormat="false" ht="12.8" hidden="false" customHeight="false" outlineLevel="0" collapsed="false">
      <c r="A2680" s="1" t="s">
        <v>1192</v>
      </c>
      <c r="C2680" s="3" t="s">
        <v>574</v>
      </c>
      <c r="D2680" s="4" t="s">
        <v>1358</v>
      </c>
      <c r="F2680" s="6" t="s">
        <v>1198</v>
      </c>
      <c r="G2680" s="7" t="str">
        <f aca="false">HYPERLINK(CONCATENATE("http://crfop.gdos.gov.pl/CRFOP/widok/viewuzytekekologiczny.jsf?fop=","PL.ZIPOP.1393.UE.1012113.464"),"(kliknij lub Ctrl+kliknij)")</f>
        <v>(kliknij lub Ctrl+kliknij)</v>
      </c>
      <c r="H2680" s="0" t="s">
        <v>816</v>
      </c>
    </row>
    <row r="2681" customFormat="false" ht="12.8" hidden="false" customHeight="false" outlineLevel="0" collapsed="false">
      <c r="A2681" s="1" t="s">
        <v>1192</v>
      </c>
      <c r="C2681" s="3" t="s">
        <v>574</v>
      </c>
      <c r="D2681" s="4" t="s">
        <v>1212</v>
      </c>
      <c r="F2681" s="6" t="s">
        <v>1198</v>
      </c>
      <c r="G2681" s="7" t="str">
        <f aca="false">HYPERLINK(CONCATENATE("http://crfop.gdos.gov.pl/CRFOP/widok/viewuzytekekologiczny.jsf?fop=","PL.ZIPOP.1393.UE.1012113.465"),"(kliknij lub Ctrl+kliknij)")</f>
        <v>(kliknij lub Ctrl+kliknij)</v>
      </c>
      <c r="H2681" s="0" t="s">
        <v>816</v>
      </c>
    </row>
    <row r="2682" customFormat="false" ht="12.8" hidden="false" customHeight="false" outlineLevel="0" collapsed="false">
      <c r="A2682" s="1" t="s">
        <v>1192</v>
      </c>
      <c r="C2682" s="3" t="s">
        <v>574</v>
      </c>
      <c r="D2682" s="4" t="s">
        <v>1251</v>
      </c>
      <c r="F2682" s="6" t="s">
        <v>1198</v>
      </c>
      <c r="G2682" s="7" t="str">
        <f aca="false">HYPERLINK(CONCATENATE("http://crfop.gdos.gov.pl/CRFOP/widok/viewuzytekekologiczny.jsf?fop=","PL.ZIPOP.1393.UE.1012113.466"),"(kliknij lub Ctrl+kliknij)")</f>
        <v>(kliknij lub Ctrl+kliknij)</v>
      </c>
      <c r="H2682" s="0" t="s">
        <v>816</v>
      </c>
    </row>
    <row r="2683" customFormat="false" ht="12.8" hidden="false" customHeight="false" outlineLevel="0" collapsed="false">
      <c r="A2683" s="1" t="s">
        <v>1192</v>
      </c>
      <c r="C2683" s="3" t="s">
        <v>574</v>
      </c>
      <c r="D2683" s="4" t="s">
        <v>1465</v>
      </c>
      <c r="F2683" s="6" t="s">
        <v>1198</v>
      </c>
      <c r="G2683" s="7" t="str">
        <f aca="false">HYPERLINK(CONCATENATE("http://crfop.gdos.gov.pl/CRFOP/widok/viewuzytekekologiczny.jsf?fop=","PL.ZIPOP.1393.UE.1012113.467"),"(kliknij lub Ctrl+kliknij)")</f>
        <v>(kliknij lub Ctrl+kliknij)</v>
      </c>
      <c r="H2683" s="0" t="s">
        <v>816</v>
      </c>
    </row>
    <row r="2684" customFormat="false" ht="12.8" hidden="false" customHeight="false" outlineLevel="0" collapsed="false">
      <c r="A2684" s="1" t="s">
        <v>1192</v>
      </c>
      <c r="C2684" s="3" t="s">
        <v>574</v>
      </c>
      <c r="D2684" s="4" t="s">
        <v>1466</v>
      </c>
      <c r="F2684" s="6" t="s">
        <v>1198</v>
      </c>
      <c r="G2684" s="7" t="str">
        <f aca="false">HYPERLINK(CONCATENATE("http://crfop.gdos.gov.pl/CRFOP/widok/viewuzytekekologiczny.jsf?fop=","PL.ZIPOP.1393.UE.1012113.468"),"(kliknij lub Ctrl+kliknij)")</f>
        <v>(kliknij lub Ctrl+kliknij)</v>
      </c>
      <c r="H2684" s="0" t="s">
        <v>816</v>
      </c>
    </row>
    <row r="2685" customFormat="false" ht="12.8" hidden="false" customHeight="false" outlineLevel="0" collapsed="false">
      <c r="A2685" s="1" t="s">
        <v>1192</v>
      </c>
      <c r="C2685" s="3" t="s">
        <v>574</v>
      </c>
      <c r="D2685" s="4" t="s">
        <v>1467</v>
      </c>
      <c r="F2685" s="6" t="s">
        <v>1198</v>
      </c>
      <c r="G2685" s="7" t="str">
        <f aca="false">HYPERLINK(CONCATENATE("http://crfop.gdos.gov.pl/CRFOP/widok/viewuzytekekologiczny.jsf?fop=","PL.ZIPOP.1393.UE.1012113.469"),"(kliknij lub Ctrl+kliknij)")</f>
        <v>(kliknij lub Ctrl+kliknij)</v>
      </c>
      <c r="H2685" s="0" t="s">
        <v>816</v>
      </c>
    </row>
    <row r="2686" customFormat="false" ht="12.8" hidden="false" customHeight="false" outlineLevel="0" collapsed="false">
      <c r="A2686" s="1" t="s">
        <v>1192</v>
      </c>
      <c r="C2686" s="3" t="s">
        <v>574</v>
      </c>
      <c r="D2686" s="4" t="s">
        <v>1468</v>
      </c>
      <c r="F2686" s="6" t="s">
        <v>1198</v>
      </c>
      <c r="G2686" s="7" t="str">
        <f aca="false">HYPERLINK(CONCATENATE("http://crfop.gdos.gov.pl/CRFOP/widok/viewuzytekekologiczny.jsf?fop=","PL.ZIPOP.1393.UE.1012113.470"),"(kliknij lub Ctrl+kliknij)")</f>
        <v>(kliknij lub Ctrl+kliknij)</v>
      </c>
      <c r="H2686" s="0" t="s">
        <v>816</v>
      </c>
    </row>
    <row r="2687" customFormat="false" ht="12.8" hidden="false" customHeight="false" outlineLevel="0" collapsed="false">
      <c r="A2687" s="1" t="s">
        <v>1192</v>
      </c>
      <c r="C2687" s="3" t="s">
        <v>574</v>
      </c>
      <c r="D2687" s="4" t="s">
        <v>1340</v>
      </c>
      <c r="F2687" s="6" t="s">
        <v>1198</v>
      </c>
      <c r="G2687" s="7" t="str">
        <f aca="false">HYPERLINK(CONCATENATE("http://crfop.gdos.gov.pl/CRFOP/widok/viewuzytekekologiczny.jsf?fop=","PL.ZIPOP.1393.UE.1012113.471"),"(kliknij lub Ctrl+kliknij)")</f>
        <v>(kliknij lub Ctrl+kliknij)</v>
      </c>
      <c r="H2687" s="0" t="s">
        <v>816</v>
      </c>
    </row>
    <row r="2688" customFormat="false" ht="12.8" hidden="false" customHeight="false" outlineLevel="0" collapsed="false">
      <c r="A2688" s="1" t="s">
        <v>1192</v>
      </c>
      <c r="C2688" s="3" t="s">
        <v>574</v>
      </c>
      <c r="D2688" s="4" t="s">
        <v>1359</v>
      </c>
      <c r="F2688" s="6" t="s">
        <v>1198</v>
      </c>
      <c r="G2688" s="7" t="str">
        <f aca="false">HYPERLINK(CONCATENATE("http://crfop.gdos.gov.pl/CRFOP/widok/viewuzytekekologiczny.jsf?fop=","PL.ZIPOP.1393.UE.1012113.472"),"(kliknij lub Ctrl+kliknij)")</f>
        <v>(kliknij lub Ctrl+kliknij)</v>
      </c>
      <c r="H2688" s="0" t="s">
        <v>816</v>
      </c>
    </row>
    <row r="2689" customFormat="false" ht="12.8" hidden="false" customHeight="false" outlineLevel="0" collapsed="false">
      <c r="A2689" s="1" t="s">
        <v>1192</v>
      </c>
      <c r="C2689" s="3" t="s">
        <v>574</v>
      </c>
      <c r="D2689" s="4" t="s">
        <v>1421</v>
      </c>
      <c r="F2689" s="6" t="s">
        <v>1198</v>
      </c>
      <c r="G2689" s="7" t="str">
        <f aca="false">HYPERLINK(CONCATENATE("http://crfop.gdos.gov.pl/CRFOP/widok/viewuzytekekologiczny.jsf?fop=","PL.ZIPOP.1393.UE.1012113.473"),"(kliknij lub Ctrl+kliknij)")</f>
        <v>(kliknij lub Ctrl+kliknij)</v>
      </c>
      <c r="H2689" s="0" t="s">
        <v>816</v>
      </c>
    </row>
    <row r="2690" customFormat="false" ht="12.8" hidden="false" customHeight="false" outlineLevel="0" collapsed="false">
      <c r="A2690" s="1" t="s">
        <v>1192</v>
      </c>
      <c r="C2690" s="3" t="s">
        <v>574</v>
      </c>
      <c r="D2690" s="4" t="s">
        <v>1421</v>
      </c>
      <c r="F2690" s="6" t="s">
        <v>1198</v>
      </c>
      <c r="G2690" s="7" t="str">
        <f aca="false">HYPERLINK(CONCATENATE("http://crfop.gdos.gov.pl/CRFOP/widok/viewuzytekekologiczny.jsf?fop=","PL.ZIPOP.1393.UE.1012113.474"),"(kliknij lub Ctrl+kliknij)")</f>
        <v>(kliknij lub Ctrl+kliknij)</v>
      </c>
      <c r="H2690" s="0" t="s">
        <v>816</v>
      </c>
    </row>
    <row r="2691" customFormat="false" ht="12.8" hidden="false" customHeight="false" outlineLevel="0" collapsed="false">
      <c r="A2691" s="1" t="s">
        <v>1192</v>
      </c>
      <c r="C2691" s="3" t="s">
        <v>574</v>
      </c>
      <c r="D2691" s="4" t="s">
        <v>1307</v>
      </c>
      <c r="F2691" s="6" t="s">
        <v>1198</v>
      </c>
      <c r="G2691" s="7" t="str">
        <f aca="false">HYPERLINK(CONCATENATE("http://crfop.gdos.gov.pl/CRFOP/widok/viewuzytekekologiczny.jsf?fop=","PL.ZIPOP.1393.UE.1012113.475"),"(kliknij lub Ctrl+kliknij)")</f>
        <v>(kliknij lub Ctrl+kliknij)</v>
      </c>
      <c r="H2691" s="0" t="s">
        <v>816</v>
      </c>
    </row>
    <row r="2692" customFormat="false" ht="12.8" hidden="false" customHeight="false" outlineLevel="0" collapsed="false">
      <c r="A2692" s="1" t="s">
        <v>1192</v>
      </c>
      <c r="C2692" s="3" t="s">
        <v>574</v>
      </c>
      <c r="D2692" s="4" t="s">
        <v>1314</v>
      </c>
      <c r="F2692" s="6" t="s">
        <v>1198</v>
      </c>
      <c r="G2692" s="7" t="str">
        <f aca="false">HYPERLINK(CONCATENATE("http://crfop.gdos.gov.pl/CRFOP/widok/viewuzytekekologiczny.jsf?fop=","PL.ZIPOP.1393.UE.1012113.476"),"(kliknij lub Ctrl+kliknij)")</f>
        <v>(kliknij lub Ctrl+kliknij)</v>
      </c>
      <c r="H2692" s="0" t="s">
        <v>816</v>
      </c>
    </row>
    <row r="2693" customFormat="false" ht="12.8" hidden="false" customHeight="false" outlineLevel="0" collapsed="false">
      <c r="A2693" s="1" t="s">
        <v>1192</v>
      </c>
      <c r="C2693" s="3" t="s">
        <v>574</v>
      </c>
      <c r="D2693" s="4" t="s">
        <v>1340</v>
      </c>
      <c r="F2693" s="6" t="s">
        <v>1198</v>
      </c>
      <c r="G2693" s="7" t="str">
        <f aca="false">HYPERLINK(CONCATENATE("http://crfop.gdos.gov.pl/CRFOP/widok/viewuzytekekologiczny.jsf?fop=","PL.ZIPOP.1393.UE.1012113.477"),"(kliknij lub Ctrl+kliknij)")</f>
        <v>(kliknij lub Ctrl+kliknij)</v>
      </c>
      <c r="H2693" s="0" t="s">
        <v>816</v>
      </c>
    </row>
    <row r="2694" customFormat="false" ht="12.8" hidden="false" customHeight="false" outlineLevel="0" collapsed="false">
      <c r="A2694" s="1" t="s">
        <v>1192</v>
      </c>
      <c r="C2694" s="3" t="s">
        <v>574</v>
      </c>
      <c r="D2694" s="4" t="s">
        <v>370</v>
      </c>
      <c r="F2694" s="6" t="s">
        <v>1198</v>
      </c>
      <c r="G2694" s="7" t="str">
        <f aca="false">HYPERLINK(CONCATENATE("http://crfop.gdos.gov.pl/CRFOP/widok/viewuzytekekologiczny.jsf?fop=","PL.ZIPOP.1393.UE.1012113.478"),"(kliknij lub Ctrl+kliknij)")</f>
        <v>(kliknij lub Ctrl+kliknij)</v>
      </c>
      <c r="H2694" s="0" t="s">
        <v>816</v>
      </c>
    </row>
    <row r="2695" customFormat="false" ht="12.8" hidden="false" customHeight="false" outlineLevel="0" collapsed="false">
      <c r="A2695" s="1" t="s">
        <v>1192</v>
      </c>
      <c r="C2695" s="3" t="s">
        <v>574</v>
      </c>
      <c r="D2695" s="4" t="s">
        <v>1314</v>
      </c>
      <c r="F2695" s="6" t="s">
        <v>1198</v>
      </c>
      <c r="G2695" s="7" t="str">
        <f aca="false">HYPERLINK(CONCATENATE("http://crfop.gdos.gov.pl/CRFOP/widok/viewuzytekekologiczny.jsf?fop=","PL.ZIPOP.1393.UE.1012113.479"),"(kliknij lub Ctrl+kliknij)")</f>
        <v>(kliknij lub Ctrl+kliknij)</v>
      </c>
      <c r="H2695" s="0" t="s">
        <v>816</v>
      </c>
    </row>
    <row r="2696" customFormat="false" ht="12.8" hidden="false" customHeight="false" outlineLevel="0" collapsed="false">
      <c r="A2696" s="1" t="s">
        <v>1192</v>
      </c>
      <c r="C2696" s="3" t="s">
        <v>574</v>
      </c>
      <c r="D2696" s="4" t="s">
        <v>1256</v>
      </c>
      <c r="F2696" s="6" t="s">
        <v>1198</v>
      </c>
      <c r="G2696" s="7" t="str">
        <f aca="false">HYPERLINK(CONCATENATE("http://crfop.gdos.gov.pl/CRFOP/widok/viewuzytekekologiczny.jsf?fop=","PL.ZIPOP.1393.UE.1012113.480"),"(kliknij lub Ctrl+kliknij)")</f>
        <v>(kliknij lub Ctrl+kliknij)</v>
      </c>
      <c r="H2696" s="0" t="s">
        <v>816</v>
      </c>
    </row>
    <row r="2697" customFormat="false" ht="12.8" hidden="false" customHeight="false" outlineLevel="0" collapsed="false">
      <c r="A2697" s="1" t="s">
        <v>1192</v>
      </c>
      <c r="C2697" s="3" t="s">
        <v>574</v>
      </c>
      <c r="D2697" s="4" t="s">
        <v>1389</v>
      </c>
      <c r="F2697" s="6" t="s">
        <v>1198</v>
      </c>
      <c r="G2697" s="7" t="str">
        <f aca="false">HYPERLINK(CONCATENATE("http://crfop.gdos.gov.pl/CRFOP/widok/viewuzytekekologiczny.jsf?fop=","PL.ZIPOP.1393.UE.1012113.481"),"(kliknij lub Ctrl+kliknij)")</f>
        <v>(kliknij lub Ctrl+kliknij)</v>
      </c>
      <c r="H2697" s="0" t="s">
        <v>816</v>
      </c>
    </row>
    <row r="2698" customFormat="false" ht="12.8" hidden="false" customHeight="false" outlineLevel="0" collapsed="false">
      <c r="A2698" s="1" t="s">
        <v>1192</v>
      </c>
      <c r="C2698" s="3" t="s">
        <v>574</v>
      </c>
      <c r="D2698" s="4" t="s">
        <v>1362</v>
      </c>
      <c r="F2698" s="6" t="s">
        <v>1198</v>
      </c>
      <c r="G2698" s="7" t="str">
        <f aca="false">HYPERLINK(CONCATENATE("http://crfop.gdos.gov.pl/CRFOP/widok/viewuzytekekologiczny.jsf?fop=","PL.ZIPOP.1393.UE.1012113.482"),"(kliknij lub Ctrl+kliknij)")</f>
        <v>(kliknij lub Ctrl+kliknij)</v>
      </c>
      <c r="H2698" s="0" t="s">
        <v>816</v>
      </c>
    </row>
    <row r="2699" customFormat="false" ht="12.8" hidden="false" customHeight="false" outlineLevel="0" collapsed="false">
      <c r="A2699" s="1" t="s">
        <v>1192</v>
      </c>
      <c r="C2699" s="3" t="s">
        <v>574</v>
      </c>
      <c r="D2699" s="4" t="s">
        <v>1358</v>
      </c>
      <c r="F2699" s="6" t="s">
        <v>1198</v>
      </c>
      <c r="G2699" s="7" t="str">
        <f aca="false">HYPERLINK(CONCATENATE("http://crfop.gdos.gov.pl/CRFOP/widok/viewuzytekekologiczny.jsf?fop=","PL.ZIPOP.1393.UE.1012113.483"),"(kliknij lub Ctrl+kliknij)")</f>
        <v>(kliknij lub Ctrl+kliknij)</v>
      </c>
      <c r="H2699" s="0" t="s">
        <v>816</v>
      </c>
    </row>
    <row r="2700" customFormat="false" ht="12.8" hidden="false" customHeight="false" outlineLevel="0" collapsed="false">
      <c r="A2700" s="1" t="s">
        <v>1192</v>
      </c>
      <c r="C2700" s="3" t="s">
        <v>574</v>
      </c>
      <c r="D2700" s="4" t="s">
        <v>1214</v>
      </c>
      <c r="F2700" s="6" t="s">
        <v>1198</v>
      </c>
      <c r="G2700" s="7" t="str">
        <f aca="false">HYPERLINK(CONCATENATE("http://crfop.gdos.gov.pl/CRFOP/widok/viewuzytekekologiczny.jsf?fop=","PL.ZIPOP.1393.UE.1012113.484"),"(kliknij lub Ctrl+kliknij)")</f>
        <v>(kliknij lub Ctrl+kliknij)</v>
      </c>
      <c r="H2700" s="0" t="s">
        <v>816</v>
      </c>
    </row>
    <row r="2701" customFormat="false" ht="12.8" hidden="false" customHeight="false" outlineLevel="0" collapsed="false">
      <c r="A2701" s="1" t="s">
        <v>1192</v>
      </c>
      <c r="C2701" s="3" t="s">
        <v>574</v>
      </c>
      <c r="D2701" s="4" t="s">
        <v>1469</v>
      </c>
      <c r="F2701" s="6" t="s">
        <v>1198</v>
      </c>
      <c r="G2701" s="7" t="str">
        <f aca="false">HYPERLINK(CONCATENATE("http://crfop.gdos.gov.pl/CRFOP/widok/viewuzytekekologiczny.jsf?fop=","PL.ZIPOP.1393.UE.1012113.485"),"(kliknij lub Ctrl+kliknij)")</f>
        <v>(kliknij lub Ctrl+kliknij)</v>
      </c>
      <c r="H2701" s="0" t="s">
        <v>816</v>
      </c>
    </row>
    <row r="2702" customFormat="false" ht="12.8" hidden="false" customHeight="false" outlineLevel="0" collapsed="false">
      <c r="A2702" s="1" t="s">
        <v>1192</v>
      </c>
      <c r="C2702" s="3" t="s">
        <v>574</v>
      </c>
      <c r="D2702" s="4" t="s">
        <v>1307</v>
      </c>
      <c r="F2702" s="6" t="s">
        <v>1198</v>
      </c>
      <c r="G2702" s="7" t="str">
        <f aca="false">HYPERLINK(CONCATENATE("http://crfop.gdos.gov.pl/CRFOP/widok/viewuzytekekologiczny.jsf?fop=","PL.ZIPOP.1393.UE.1012113.486"),"(kliknij lub Ctrl+kliknij)")</f>
        <v>(kliknij lub Ctrl+kliknij)</v>
      </c>
      <c r="H2702" s="0" t="s">
        <v>816</v>
      </c>
    </row>
    <row r="2703" customFormat="false" ht="12.8" hidden="false" customHeight="false" outlineLevel="0" collapsed="false">
      <c r="A2703" s="1" t="s">
        <v>1192</v>
      </c>
      <c r="C2703" s="3" t="s">
        <v>574</v>
      </c>
      <c r="D2703" s="4" t="s">
        <v>1470</v>
      </c>
      <c r="F2703" s="6" t="s">
        <v>1198</v>
      </c>
      <c r="G2703" s="7" t="str">
        <f aca="false">HYPERLINK(CONCATENATE("http://crfop.gdos.gov.pl/CRFOP/widok/viewuzytekekologiczny.jsf?fop=","PL.ZIPOP.1393.UE.1012113.487"),"(kliknij lub Ctrl+kliknij)")</f>
        <v>(kliknij lub Ctrl+kliknij)</v>
      </c>
      <c r="H2703" s="0" t="s">
        <v>816</v>
      </c>
    </row>
    <row r="2704" customFormat="false" ht="12.8" hidden="false" customHeight="false" outlineLevel="0" collapsed="false">
      <c r="A2704" s="1" t="s">
        <v>1192</v>
      </c>
      <c r="C2704" s="3" t="s">
        <v>574</v>
      </c>
      <c r="D2704" s="4" t="s">
        <v>1471</v>
      </c>
      <c r="F2704" s="6" t="s">
        <v>1198</v>
      </c>
      <c r="G2704" s="7" t="str">
        <f aca="false">HYPERLINK(CONCATENATE("http://crfop.gdos.gov.pl/CRFOP/widok/viewuzytekekologiczny.jsf?fop=","PL.ZIPOP.1393.UE.1012113.488"),"(kliknij lub Ctrl+kliknij)")</f>
        <v>(kliknij lub Ctrl+kliknij)</v>
      </c>
      <c r="H2704" s="0" t="s">
        <v>816</v>
      </c>
    </row>
    <row r="2705" customFormat="false" ht="12.8" hidden="false" customHeight="false" outlineLevel="0" collapsed="false">
      <c r="A2705" s="1" t="s">
        <v>1192</v>
      </c>
      <c r="C2705" s="3" t="s">
        <v>574</v>
      </c>
      <c r="D2705" s="4" t="s">
        <v>1222</v>
      </c>
      <c r="F2705" s="6" t="s">
        <v>1198</v>
      </c>
      <c r="G2705" s="7" t="str">
        <f aca="false">HYPERLINK(CONCATENATE("http://crfop.gdos.gov.pl/CRFOP/widok/viewuzytekekologiczny.jsf?fop=","PL.ZIPOP.1393.UE.1012113.489"),"(kliknij lub Ctrl+kliknij)")</f>
        <v>(kliknij lub Ctrl+kliknij)</v>
      </c>
      <c r="H2705" s="0" t="s">
        <v>816</v>
      </c>
    </row>
    <row r="2706" customFormat="false" ht="12.8" hidden="false" customHeight="false" outlineLevel="0" collapsed="false">
      <c r="A2706" s="1" t="s">
        <v>1192</v>
      </c>
      <c r="C2706" s="3" t="s">
        <v>574</v>
      </c>
      <c r="D2706" s="4" t="s">
        <v>1208</v>
      </c>
      <c r="F2706" s="6" t="s">
        <v>1198</v>
      </c>
      <c r="G2706" s="7" t="str">
        <f aca="false">HYPERLINK(CONCATENATE("http://crfop.gdos.gov.pl/CRFOP/widok/viewuzytekekologiczny.jsf?fop=","PL.ZIPOP.1393.UE.1012113.490"),"(kliknij lub Ctrl+kliknij)")</f>
        <v>(kliknij lub Ctrl+kliknij)</v>
      </c>
      <c r="H2706" s="0" t="s">
        <v>816</v>
      </c>
    </row>
    <row r="2707" customFormat="false" ht="12.8" hidden="false" customHeight="false" outlineLevel="0" collapsed="false">
      <c r="A2707" s="1" t="s">
        <v>1192</v>
      </c>
      <c r="C2707" s="3" t="s">
        <v>574</v>
      </c>
      <c r="D2707" s="4" t="s">
        <v>1472</v>
      </c>
      <c r="F2707" s="6" t="s">
        <v>1198</v>
      </c>
      <c r="G2707" s="7" t="str">
        <f aca="false">HYPERLINK(CONCATENATE("http://crfop.gdos.gov.pl/CRFOP/widok/viewuzytekekologiczny.jsf?fop=","PL.ZIPOP.1393.UE.1012113.491"),"(kliknij lub Ctrl+kliknij)")</f>
        <v>(kliknij lub Ctrl+kliknij)</v>
      </c>
      <c r="H2707" s="0" t="s">
        <v>816</v>
      </c>
    </row>
    <row r="2708" customFormat="false" ht="12.8" hidden="false" customHeight="false" outlineLevel="0" collapsed="false">
      <c r="A2708" s="1" t="s">
        <v>1192</v>
      </c>
      <c r="C2708" s="3" t="s">
        <v>574</v>
      </c>
      <c r="D2708" s="4" t="s">
        <v>1470</v>
      </c>
      <c r="F2708" s="6" t="s">
        <v>1198</v>
      </c>
      <c r="G2708" s="7" t="str">
        <f aca="false">HYPERLINK(CONCATENATE("http://crfop.gdos.gov.pl/CRFOP/widok/viewuzytekekologiczny.jsf?fop=","PL.ZIPOP.1393.UE.1012113.492"),"(kliknij lub Ctrl+kliknij)")</f>
        <v>(kliknij lub Ctrl+kliknij)</v>
      </c>
      <c r="H2708" s="0" t="s">
        <v>816</v>
      </c>
    </row>
    <row r="2709" customFormat="false" ht="12.8" hidden="false" customHeight="false" outlineLevel="0" collapsed="false">
      <c r="A2709" s="1" t="s">
        <v>1192</v>
      </c>
      <c r="C2709" s="3" t="s">
        <v>574</v>
      </c>
      <c r="D2709" s="4" t="s">
        <v>1389</v>
      </c>
      <c r="F2709" s="6" t="s">
        <v>1198</v>
      </c>
      <c r="G2709" s="7" t="str">
        <f aca="false">HYPERLINK(CONCATENATE("http://crfop.gdos.gov.pl/CRFOP/widok/viewuzytekekologiczny.jsf?fop=","PL.ZIPOP.1393.UE.1012113.493"),"(kliknij lub Ctrl+kliknij)")</f>
        <v>(kliknij lub Ctrl+kliknij)</v>
      </c>
      <c r="H2709" s="0" t="s">
        <v>816</v>
      </c>
    </row>
    <row r="2710" customFormat="false" ht="12.8" hidden="false" customHeight="false" outlineLevel="0" collapsed="false">
      <c r="A2710" s="1" t="s">
        <v>1192</v>
      </c>
      <c r="C2710" s="3" t="s">
        <v>574</v>
      </c>
      <c r="D2710" s="4" t="s">
        <v>1215</v>
      </c>
      <c r="F2710" s="6" t="s">
        <v>1198</v>
      </c>
      <c r="G2710" s="7" t="str">
        <f aca="false">HYPERLINK(CONCATENATE("http://crfop.gdos.gov.pl/CRFOP/widok/viewuzytekekologiczny.jsf?fop=","PL.ZIPOP.1393.UE.1012113.494"),"(kliknij lub Ctrl+kliknij)")</f>
        <v>(kliknij lub Ctrl+kliknij)</v>
      </c>
      <c r="H2710" s="0" t="s">
        <v>816</v>
      </c>
    </row>
    <row r="2711" customFormat="false" ht="12.8" hidden="false" customHeight="false" outlineLevel="0" collapsed="false">
      <c r="A2711" s="1" t="s">
        <v>1192</v>
      </c>
      <c r="C2711" s="3" t="s">
        <v>574</v>
      </c>
      <c r="D2711" s="4" t="s">
        <v>1473</v>
      </c>
      <c r="F2711" s="6" t="s">
        <v>1198</v>
      </c>
      <c r="G2711" s="7" t="str">
        <f aca="false">HYPERLINK(CONCATENATE("http://crfop.gdos.gov.pl/CRFOP/widok/viewuzytekekologiczny.jsf?fop=","PL.ZIPOP.1393.UE.1012113.495"),"(kliknij lub Ctrl+kliknij)")</f>
        <v>(kliknij lub Ctrl+kliknij)</v>
      </c>
      <c r="H2711" s="0" t="s">
        <v>816</v>
      </c>
    </row>
    <row r="2712" customFormat="false" ht="12.8" hidden="false" customHeight="false" outlineLevel="0" collapsed="false">
      <c r="A2712" s="1" t="s">
        <v>1192</v>
      </c>
      <c r="C2712" s="3" t="s">
        <v>574</v>
      </c>
      <c r="D2712" s="4" t="s">
        <v>1442</v>
      </c>
      <c r="F2712" s="6" t="s">
        <v>1198</v>
      </c>
      <c r="G2712" s="7" t="str">
        <f aca="false">HYPERLINK(CONCATENATE("http://crfop.gdos.gov.pl/CRFOP/widok/viewuzytekekologiczny.jsf?fop=","PL.ZIPOP.1393.UE.1012113.496"),"(kliknij lub Ctrl+kliknij)")</f>
        <v>(kliknij lub Ctrl+kliknij)</v>
      </c>
      <c r="H2712" s="0" t="s">
        <v>816</v>
      </c>
    </row>
    <row r="2713" customFormat="false" ht="12.8" hidden="false" customHeight="false" outlineLevel="0" collapsed="false">
      <c r="A2713" s="1" t="s">
        <v>1192</v>
      </c>
      <c r="C2713" s="3" t="s">
        <v>574</v>
      </c>
      <c r="D2713" s="4" t="s">
        <v>1201</v>
      </c>
      <c r="F2713" s="6" t="s">
        <v>1198</v>
      </c>
      <c r="G2713" s="7" t="str">
        <f aca="false">HYPERLINK(CONCATENATE("http://crfop.gdos.gov.pl/CRFOP/widok/viewuzytekekologiczny.jsf?fop=","PL.ZIPOP.1393.UE.1012113.497"),"(kliknij lub Ctrl+kliknij)")</f>
        <v>(kliknij lub Ctrl+kliknij)</v>
      </c>
      <c r="H2713" s="0" t="s">
        <v>816</v>
      </c>
    </row>
    <row r="2714" customFormat="false" ht="12.8" hidden="false" customHeight="false" outlineLevel="0" collapsed="false">
      <c r="A2714" s="1" t="s">
        <v>1192</v>
      </c>
      <c r="C2714" s="3" t="s">
        <v>574</v>
      </c>
      <c r="D2714" s="4" t="s">
        <v>1226</v>
      </c>
      <c r="F2714" s="6" t="s">
        <v>1198</v>
      </c>
      <c r="G2714" s="7" t="str">
        <f aca="false">HYPERLINK(CONCATENATE("http://crfop.gdos.gov.pl/CRFOP/widok/viewuzytekekologiczny.jsf?fop=","PL.ZIPOP.1393.UE.1012113.498"),"(kliknij lub Ctrl+kliknij)")</f>
        <v>(kliknij lub Ctrl+kliknij)</v>
      </c>
      <c r="H2714" s="0" t="s">
        <v>816</v>
      </c>
    </row>
    <row r="2715" customFormat="false" ht="12.8" hidden="false" customHeight="false" outlineLevel="0" collapsed="false">
      <c r="A2715" s="1" t="s">
        <v>1192</v>
      </c>
      <c r="C2715" s="3" t="s">
        <v>574</v>
      </c>
      <c r="D2715" s="4" t="s">
        <v>1205</v>
      </c>
      <c r="F2715" s="6" t="s">
        <v>1198</v>
      </c>
      <c r="G2715" s="7" t="str">
        <f aca="false">HYPERLINK(CONCATENATE("http://crfop.gdos.gov.pl/CRFOP/widok/viewuzytekekologiczny.jsf?fop=","PL.ZIPOP.1393.UE.1012113.499"),"(kliknij lub Ctrl+kliknij)")</f>
        <v>(kliknij lub Ctrl+kliknij)</v>
      </c>
      <c r="H2715" s="0" t="s">
        <v>816</v>
      </c>
    </row>
    <row r="2716" customFormat="false" ht="12.8" hidden="false" customHeight="false" outlineLevel="0" collapsed="false">
      <c r="A2716" s="1" t="s">
        <v>1192</v>
      </c>
      <c r="C2716" s="3" t="s">
        <v>574</v>
      </c>
      <c r="D2716" s="4" t="s">
        <v>1218</v>
      </c>
      <c r="F2716" s="6" t="s">
        <v>1198</v>
      </c>
      <c r="G2716" s="7" t="str">
        <f aca="false">HYPERLINK(CONCATENATE("http://crfop.gdos.gov.pl/CRFOP/widok/viewuzytekekologiczny.jsf?fop=","PL.ZIPOP.1393.UE.1012113.500"),"(kliknij lub Ctrl+kliknij)")</f>
        <v>(kliknij lub Ctrl+kliknij)</v>
      </c>
      <c r="H2716" s="0" t="s">
        <v>816</v>
      </c>
    </row>
    <row r="2717" customFormat="false" ht="12.8" hidden="false" customHeight="false" outlineLevel="0" collapsed="false">
      <c r="A2717" s="1" t="s">
        <v>1192</v>
      </c>
      <c r="C2717" s="3" t="s">
        <v>574</v>
      </c>
      <c r="D2717" s="4" t="s">
        <v>1471</v>
      </c>
      <c r="F2717" s="6" t="s">
        <v>1198</v>
      </c>
      <c r="G2717" s="7" t="str">
        <f aca="false">HYPERLINK(CONCATENATE("http://crfop.gdos.gov.pl/CRFOP/widok/viewuzytekekologiczny.jsf?fop=","PL.ZIPOP.1393.UE.1012113.501"),"(kliknij lub Ctrl+kliknij)")</f>
        <v>(kliknij lub Ctrl+kliknij)</v>
      </c>
      <c r="H2717" s="0" t="s">
        <v>816</v>
      </c>
    </row>
    <row r="2718" customFormat="false" ht="12.8" hidden="false" customHeight="false" outlineLevel="0" collapsed="false">
      <c r="A2718" s="1" t="s">
        <v>1192</v>
      </c>
      <c r="C2718" s="3" t="s">
        <v>574</v>
      </c>
      <c r="D2718" s="4" t="s">
        <v>1240</v>
      </c>
      <c r="F2718" s="6" t="s">
        <v>1198</v>
      </c>
      <c r="G2718" s="7" t="str">
        <f aca="false">HYPERLINK(CONCATENATE("http://crfop.gdos.gov.pl/CRFOP/widok/viewuzytekekologiczny.jsf?fop=","PL.ZIPOP.1393.UE.1012113.502"),"(kliknij lub Ctrl+kliknij)")</f>
        <v>(kliknij lub Ctrl+kliknij)</v>
      </c>
      <c r="H2718" s="0" t="s">
        <v>816</v>
      </c>
    </row>
    <row r="2719" customFormat="false" ht="12.8" hidden="false" customHeight="false" outlineLevel="0" collapsed="false">
      <c r="A2719" s="1" t="s">
        <v>1192</v>
      </c>
      <c r="C2719" s="3" t="s">
        <v>574</v>
      </c>
      <c r="D2719" s="4" t="s">
        <v>1474</v>
      </c>
      <c r="F2719" s="6" t="s">
        <v>1198</v>
      </c>
      <c r="G2719" s="7" t="str">
        <f aca="false">HYPERLINK(CONCATENATE("http://crfop.gdos.gov.pl/CRFOP/widok/viewuzytekekologiczny.jsf?fop=","PL.ZIPOP.1393.UE.1012113.503"),"(kliknij lub Ctrl+kliknij)")</f>
        <v>(kliknij lub Ctrl+kliknij)</v>
      </c>
      <c r="H2719" s="0" t="s">
        <v>816</v>
      </c>
    </row>
    <row r="2720" customFormat="false" ht="12.8" hidden="false" customHeight="false" outlineLevel="0" collapsed="false">
      <c r="A2720" s="1" t="s">
        <v>1192</v>
      </c>
      <c r="C2720" s="3" t="s">
        <v>574</v>
      </c>
      <c r="D2720" s="4" t="s">
        <v>1346</v>
      </c>
      <c r="F2720" s="6" t="s">
        <v>1198</v>
      </c>
      <c r="G2720" s="7" t="str">
        <f aca="false">HYPERLINK(CONCATENATE("http://crfop.gdos.gov.pl/CRFOP/widok/viewuzytekekologiczny.jsf?fop=","PL.ZIPOP.1393.UE.1012113.504"),"(kliknij lub Ctrl+kliknij)")</f>
        <v>(kliknij lub Ctrl+kliknij)</v>
      </c>
      <c r="H2720" s="0" t="s">
        <v>816</v>
      </c>
    </row>
    <row r="2721" customFormat="false" ht="12.8" hidden="false" customHeight="false" outlineLevel="0" collapsed="false">
      <c r="A2721" s="1" t="s">
        <v>1192</v>
      </c>
      <c r="C2721" s="3" t="s">
        <v>574</v>
      </c>
      <c r="D2721" s="4" t="s">
        <v>1246</v>
      </c>
      <c r="F2721" s="6" t="s">
        <v>1198</v>
      </c>
      <c r="G2721" s="7" t="str">
        <f aca="false">HYPERLINK(CONCATENATE("http://crfop.gdos.gov.pl/CRFOP/widok/viewuzytekekologiczny.jsf?fop=","PL.ZIPOP.1393.UE.1012113.505"),"(kliknij lub Ctrl+kliknij)")</f>
        <v>(kliknij lub Ctrl+kliknij)</v>
      </c>
      <c r="H2721" s="0" t="s">
        <v>816</v>
      </c>
    </row>
    <row r="2722" customFormat="false" ht="12.8" hidden="false" customHeight="false" outlineLevel="0" collapsed="false">
      <c r="A2722" s="1" t="s">
        <v>1192</v>
      </c>
      <c r="C2722" s="3" t="s">
        <v>574</v>
      </c>
      <c r="D2722" s="4" t="s">
        <v>1475</v>
      </c>
      <c r="F2722" s="6" t="s">
        <v>1198</v>
      </c>
      <c r="G2722" s="7" t="str">
        <f aca="false">HYPERLINK(CONCATENATE("http://crfop.gdos.gov.pl/CRFOP/widok/viewuzytekekologiczny.jsf?fop=","PL.ZIPOP.1393.UE.1012113.506"),"(kliknij lub Ctrl+kliknij)")</f>
        <v>(kliknij lub Ctrl+kliknij)</v>
      </c>
      <c r="H2722" s="0" t="s">
        <v>816</v>
      </c>
    </row>
    <row r="2723" customFormat="false" ht="12.8" hidden="false" customHeight="false" outlineLevel="0" collapsed="false">
      <c r="A2723" s="1" t="s">
        <v>1192</v>
      </c>
      <c r="C2723" s="3" t="s">
        <v>574</v>
      </c>
      <c r="D2723" s="4" t="s">
        <v>1300</v>
      </c>
      <c r="F2723" s="6" t="s">
        <v>1198</v>
      </c>
      <c r="G2723" s="7" t="str">
        <f aca="false">HYPERLINK(CONCATENATE("http://crfop.gdos.gov.pl/CRFOP/widok/viewuzytekekologiczny.jsf?fop=","PL.ZIPOP.1393.UE.1012113.507"),"(kliknij lub Ctrl+kliknij)")</f>
        <v>(kliknij lub Ctrl+kliknij)</v>
      </c>
      <c r="H2723" s="0" t="s">
        <v>816</v>
      </c>
    </row>
    <row r="2724" customFormat="false" ht="12.8" hidden="false" customHeight="false" outlineLevel="0" collapsed="false">
      <c r="A2724" s="1" t="s">
        <v>1192</v>
      </c>
      <c r="C2724" s="3" t="s">
        <v>574</v>
      </c>
      <c r="D2724" s="4" t="s">
        <v>1364</v>
      </c>
      <c r="F2724" s="6" t="s">
        <v>1198</v>
      </c>
      <c r="G2724" s="7" t="str">
        <f aca="false">HYPERLINK(CONCATENATE("http://crfop.gdos.gov.pl/CRFOP/widok/viewuzytekekologiczny.jsf?fop=","PL.ZIPOP.1393.UE.1012113.508"),"(kliknij lub Ctrl+kliknij)")</f>
        <v>(kliknij lub Ctrl+kliknij)</v>
      </c>
      <c r="H2724" s="0" t="s">
        <v>816</v>
      </c>
    </row>
    <row r="2725" customFormat="false" ht="12.8" hidden="false" customHeight="false" outlineLevel="0" collapsed="false">
      <c r="A2725" s="1" t="s">
        <v>1192</v>
      </c>
      <c r="C2725" s="3" t="s">
        <v>574</v>
      </c>
      <c r="D2725" s="4" t="s">
        <v>1424</v>
      </c>
      <c r="F2725" s="6" t="s">
        <v>1198</v>
      </c>
      <c r="G2725" s="7" t="str">
        <f aca="false">HYPERLINK(CONCATENATE("http://crfop.gdos.gov.pl/CRFOP/widok/viewuzytekekologiczny.jsf?fop=","PL.ZIPOP.1393.UE.1012113.509"),"(kliknij lub Ctrl+kliknij)")</f>
        <v>(kliknij lub Ctrl+kliknij)</v>
      </c>
      <c r="H2725" s="0" t="s">
        <v>816</v>
      </c>
    </row>
    <row r="2726" customFormat="false" ht="12.8" hidden="false" customHeight="false" outlineLevel="0" collapsed="false">
      <c r="A2726" s="1" t="s">
        <v>1192</v>
      </c>
      <c r="C2726" s="3" t="s">
        <v>574</v>
      </c>
      <c r="D2726" s="4" t="s">
        <v>1471</v>
      </c>
      <c r="F2726" s="6" t="s">
        <v>1198</v>
      </c>
      <c r="G2726" s="7" t="str">
        <f aca="false">HYPERLINK(CONCATENATE("http://crfop.gdos.gov.pl/CRFOP/widok/viewuzytekekologiczny.jsf?fop=","PL.ZIPOP.1393.UE.1012113.510"),"(kliknij lub Ctrl+kliknij)")</f>
        <v>(kliknij lub Ctrl+kliknij)</v>
      </c>
      <c r="H2726" s="0" t="s">
        <v>816</v>
      </c>
    </row>
    <row r="2727" customFormat="false" ht="12.8" hidden="false" customHeight="false" outlineLevel="0" collapsed="false">
      <c r="A2727" s="1" t="s">
        <v>1192</v>
      </c>
      <c r="C2727" s="3" t="s">
        <v>574</v>
      </c>
      <c r="D2727" s="4" t="s">
        <v>1476</v>
      </c>
      <c r="F2727" s="6" t="s">
        <v>1198</v>
      </c>
      <c r="G2727" s="7" t="str">
        <f aca="false">HYPERLINK(CONCATENATE("http://crfop.gdos.gov.pl/CRFOP/widok/viewuzytekekologiczny.jsf?fop=","PL.ZIPOP.1393.UE.1012113.511"),"(kliknij lub Ctrl+kliknij)")</f>
        <v>(kliknij lub Ctrl+kliknij)</v>
      </c>
      <c r="H2727" s="0" t="s">
        <v>816</v>
      </c>
    </row>
    <row r="2728" customFormat="false" ht="12.8" hidden="false" customHeight="false" outlineLevel="0" collapsed="false">
      <c r="A2728" s="1" t="s">
        <v>1192</v>
      </c>
      <c r="C2728" s="3" t="s">
        <v>574</v>
      </c>
      <c r="D2728" s="4" t="s">
        <v>1477</v>
      </c>
      <c r="F2728" s="6" t="s">
        <v>1198</v>
      </c>
      <c r="G2728" s="7" t="str">
        <f aca="false">HYPERLINK(CONCATENATE("http://crfop.gdos.gov.pl/CRFOP/widok/viewuzytekekologiczny.jsf?fop=","PL.ZIPOP.1393.UE.1012113.512"),"(kliknij lub Ctrl+kliknij)")</f>
        <v>(kliknij lub Ctrl+kliknij)</v>
      </c>
      <c r="H2728" s="0" t="s">
        <v>816</v>
      </c>
    </row>
    <row r="2729" customFormat="false" ht="12.8" hidden="false" customHeight="false" outlineLevel="0" collapsed="false">
      <c r="A2729" s="1" t="s">
        <v>1192</v>
      </c>
      <c r="C2729" s="3" t="s">
        <v>574</v>
      </c>
      <c r="D2729" s="4" t="s">
        <v>1254</v>
      </c>
      <c r="F2729" s="6" t="s">
        <v>1198</v>
      </c>
      <c r="G2729" s="7" t="str">
        <f aca="false">HYPERLINK(CONCATENATE("http://crfop.gdos.gov.pl/CRFOP/widok/viewuzytekekologiczny.jsf?fop=","PL.ZIPOP.1393.UE.1012113.513"),"(kliknij lub Ctrl+kliknij)")</f>
        <v>(kliknij lub Ctrl+kliknij)</v>
      </c>
      <c r="H2729" s="0" t="s">
        <v>816</v>
      </c>
    </row>
    <row r="2730" customFormat="false" ht="12.8" hidden="false" customHeight="false" outlineLevel="0" collapsed="false">
      <c r="A2730" s="1" t="s">
        <v>1192</v>
      </c>
      <c r="C2730" s="3" t="s">
        <v>574</v>
      </c>
      <c r="D2730" s="4" t="s">
        <v>1245</v>
      </c>
      <c r="F2730" s="6" t="s">
        <v>1198</v>
      </c>
      <c r="G2730" s="7" t="str">
        <f aca="false">HYPERLINK(CONCATENATE("http://crfop.gdos.gov.pl/CRFOP/widok/viewuzytekekologiczny.jsf?fop=","PL.ZIPOP.1393.UE.1012113.514"),"(kliknij lub Ctrl+kliknij)")</f>
        <v>(kliknij lub Ctrl+kliknij)</v>
      </c>
      <c r="H2730" s="0" t="s">
        <v>816</v>
      </c>
    </row>
    <row r="2731" customFormat="false" ht="12.8" hidden="false" customHeight="false" outlineLevel="0" collapsed="false">
      <c r="A2731" s="1" t="s">
        <v>1192</v>
      </c>
      <c r="C2731" s="3" t="s">
        <v>574</v>
      </c>
      <c r="D2731" s="4" t="s">
        <v>1354</v>
      </c>
      <c r="F2731" s="6" t="s">
        <v>1198</v>
      </c>
      <c r="G2731" s="7" t="str">
        <f aca="false">HYPERLINK(CONCATENATE("http://crfop.gdos.gov.pl/CRFOP/widok/viewuzytekekologiczny.jsf?fop=","PL.ZIPOP.1393.UE.1012113.515"),"(kliknij lub Ctrl+kliknij)")</f>
        <v>(kliknij lub Ctrl+kliknij)</v>
      </c>
      <c r="H2731" s="0" t="s">
        <v>816</v>
      </c>
    </row>
    <row r="2732" customFormat="false" ht="12.8" hidden="false" customHeight="false" outlineLevel="0" collapsed="false">
      <c r="A2732" s="1" t="s">
        <v>1192</v>
      </c>
      <c r="C2732" s="3" t="s">
        <v>574</v>
      </c>
      <c r="D2732" s="4" t="s">
        <v>1413</v>
      </c>
      <c r="F2732" s="6" t="s">
        <v>1198</v>
      </c>
      <c r="G2732" s="7" t="str">
        <f aca="false">HYPERLINK(CONCATENATE("http://crfop.gdos.gov.pl/CRFOP/widok/viewuzytekekologiczny.jsf?fop=","PL.ZIPOP.1393.UE.1012113.516"),"(kliknij lub Ctrl+kliknij)")</f>
        <v>(kliknij lub Ctrl+kliknij)</v>
      </c>
      <c r="H2732" s="0" t="s">
        <v>816</v>
      </c>
    </row>
    <row r="2733" customFormat="false" ht="12.8" hidden="false" customHeight="false" outlineLevel="0" collapsed="false">
      <c r="A2733" s="1" t="s">
        <v>1192</v>
      </c>
      <c r="C2733" s="3" t="s">
        <v>574</v>
      </c>
      <c r="D2733" s="4" t="s">
        <v>1391</v>
      </c>
      <c r="F2733" s="6" t="s">
        <v>1198</v>
      </c>
      <c r="G2733" s="7" t="str">
        <f aca="false">HYPERLINK(CONCATENATE("http://crfop.gdos.gov.pl/CRFOP/widok/viewuzytekekologiczny.jsf?fop=","PL.ZIPOP.1393.UE.1012113.517"),"(kliknij lub Ctrl+kliknij)")</f>
        <v>(kliknij lub Ctrl+kliknij)</v>
      </c>
      <c r="H2733" s="0" t="s">
        <v>816</v>
      </c>
    </row>
    <row r="2734" customFormat="false" ht="12.8" hidden="false" customHeight="false" outlineLevel="0" collapsed="false">
      <c r="A2734" s="1" t="s">
        <v>1192</v>
      </c>
      <c r="C2734" s="3" t="s">
        <v>574</v>
      </c>
      <c r="D2734" s="4" t="s">
        <v>1336</v>
      </c>
      <c r="F2734" s="6" t="s">
        <v>1198</v>
      </c>
      <c r="G2734" s="7" t="str">
        <f aca="false">HYPERLINK(CONCATENATE("http://crfop.gdos.gov.pl/CRFOP/widok/viewuzytekekologiczny.jsf?fop=","PL.ZIPOP.1393.UE.1012113.518"),"(kliknij lub Ctrl+kliknij)")</f>
        <v>(kliknij lub Ctrl+kliknij)</v>
      </c>
      <c r="H2734" s="0" t="s">
        <v>816</v>
      </c>
    </row>
    <row r="2735" customFormat="false" ht="12.8" hidden="false" customHeight="false" outlineLevel="0" collapsed="false">
      <c r="A2735" s="1" t="s">
        <v>1192</v>
      </c>
      <c r="C2735" s="3" t="s">
        <v>574</v>
      </c>
      <c r="D2735" s="4" t="s">
        <v>1245</v>
      </c>
      <c r="F2735" s="6" t="s">
        <v>1198</v>
      </c>
      <c r="G2735" s="7" t="str">
        <f aca="false">HYPERLINK(CONCATENATE("http://crfop.gdos.gov.pl/CRFOP/widok/viewuzytekekologiczny.jsf?fop=","PL.ZIPOP.1393.UE.1012113.519"),"(kliknij lub Ctrl+kliknij)")</f>
        <v>(kliknij lub Ctrl+kliknij)</v>
      </c>
      <c r="H2735" s="0" t="s">
        <v>816</v>
      </c>
    </row>
    <row r="2736" customFormat="false" ht="12.8" hidden="false" customHeight="false" outlineLevel="0" collapsed="false">
      <c r="A2736" s="1" t="s">
        <v>1192</v>
      </c>
      <c r="B2736" s="2" t="s">
        <v>1478</v>
      </c>
      <c r="C2736" s="3" t="s">
        <v>1394</v>
      </c>
      <c r="D2736" s="4" t="s">
        <v>1341</v>
      </c>
      <c r="F2736" s="6" t="s">
        <v>1395</v>
      </c>
      <c r="G2736" s="7" t="str">
        <f aca="false">HYPERLINK(CONCATENATE("http://crfop.gdos.gov.pl/CRFOP/widok/viewuzytekekologiczny.jsf?fop=","PL.ZIPOP.1393.UE.1012113.520"),"(kliknij lub Ctrl+kliknij)")</f>
        <v>(kliknij lub Ctrl+kliknij)</v>
      </c>
      <c r="H2736" s="0" t="s">
        <v>816</v>
      </c>
    </row>
    <row r="2737" customFormat="false" ht="12.8" hidden="false" customHeight="false" outlineLevel="0" collapsed="false">
      <c r="A2737" s="1" t="s">
        <v>1192</v>
      </c>
      <c r="B2737" s="2" t="s">
        <v>1479</v>
      </c>
      <c r="C2737" s="3" t="s">
        <v>1394</v>
      </c>
      <c r="D2737" s="4" t="s">
        <v>1197</v>
      </c>
      <c r="F2737" s="6" t="s">
        <v>1395</v>
      </c>
      <c r="G2737" s="7" t="str">
        <f aca="false">HYPERLINK(CONCATENATE("http://crfop.gdos.gov.pl/CRFOP/widok/viewuzytekekologiczny.jsf?fop=","PL.ZIPOP.1393.UE.1012113.521"),"(kliknij lub Ctrl+kliknij)")</f>
        <v>(kliknij lub Ctrl+kliknij)</v>
      </c>
      <c r="H2737" s="0" t="s">
        <v>816</v>
      </c>
    </row>
    <row r="2738" customFormat="false" ht="12.8" hidden="false" customHeight="false" outlineLevel="0" collapsed="false">
      <c r="A2738" s="1" t="s">
        <v>1192</v>
      </c>
      <c r="B2738" s="2" t="s">
        <v>1480</v>
      </c>
      <c r="C2738" s="3" t="s">
        <v>1394</v>
      </c>
      <c r="D2738" s="4" t="s">
        <v>1223</v>
      </c>
      <c r="F2738" s="6" t="s">
        <v>1395</v>
      </c>
      <c r="G2738" s="7" t="str">
        <f aca="false">HYPERLINK(CONCATENATE("http://crfop.gdos.gov.pl/CRFOP/widok/viewuzytekekologiczny.jsf?fop=","PL.ZIPOP.1393.UE.1012113.522"),"(kliknij lub Ctrl+kliknij)")</f>
        <v>(kliknij lub Ctrl+kliknij)</v>
      </c>
      <c r="H2738" s="0" t="s">
        <v>816</v>
      </c>
    </row>
    <row r="2739" customFormat="false" ht="12.8" hidden="false" customHeight="false" outlineLevel="0" collapsed="false">
      <c r="A2739" s="1" t="s">
        <v>1192</v>
      </c>
      <c r="B2739" s="2" t="s">
        <v>1481</v>
      </c>
      <c r="C2739" s="3" t="s">
        <v>1394</v>
      </c>
      <c r="D2739" s="4" t="s">
        <v>1482</v>
      </c>
      <c r="F2739" s="6" t="s">
        <v>1395</v>
      </c>
      <c r="G2739" s="7" t="str">
        <f aca="false">HYPERLINK(CONCATENATE("http://crfop.gdos.gov.pl/CRFOP/widok/viewuzytekekologiczny.jsf?fop=","PL.ZIPOP.1393.UE.1012113.523"),"(kliknij lub Ctrl+kliknij)")</f>
        <v>(kliknij lub Ctrl+kliknij)</v>
      </c>
      <c r="H2739" s="0" t="s">
        <v>816</v>
      </c>
    </row>
    <row r="2740" customFormat="false" ht="12.8" hidden="false" customHeight="false" outlineLevel="0" collapsed="false">
      <c r="A2740" s="1" t="s">
        <v>1192</v>
      </c>
      <c r="B2740" s="2" t="s">
        <v>1483</v>
      </c>
      <c r="C2740" s="3" t="s">
        <v>1394</v>
      </c>
      <c r="D2740" s="4" t="s">
        <v>1410</v>
      </c>
      <c r="F2740" s="6" t="s">
        <v>1395</v>
      </c>
      <c r="G2740" s="7" t="str">
        <f aca="false">HYPERLINK(CONCATENATE("http://crfop.gdos.gov.pl/CRFOP/widok/viewuzytekekologiczny.jsf?fop=","PL.ZIPOP.1393.UE.1012113.524"),"(kliknij lub Ctrl+kliknij)")</f>
        <v>(kliknij lub Ctrl+kliknij)</v>
      </c>
      <c r="H2740" s="0" t="s">
        <v>816</v>
      </c>
    </row>
    <row r="2741" customFormat="false" ht="12.8" hidden="false" customHeight="false" outlineLevel="0" collapsed="false">
      <c r="A2741" s="1" t="s">
        <v>1192</v>
      </c>
      <c r="B2741" s="2" t="s">
        <v>1484</v>
      </c>
      <c r="C2741" s="3" t="s">
        <v>1394</v>
      </c>
      <c r="D2741" s="4" t="s">
        <v>1216</v>
      </c>
      <c r="F2741" s="6" t="s">
        <v>1395</v>
      </c>
      <c r="G2741" s="7" t="str">
        <f aca="false">HYPERLINK(CONCATENATE("http://crfop.gdos.gov.pl/CRFOP/widok/viewuzytekekologiczny.jsf?fop=","PL.ZIPOP.1393.UE.1012113.525"),"(kliknij lub Ctrl+kliknij)")</f>
        <v>(kliknij lub Ctrl+kliknij)</v>
      </c>
      <c r="H2741" s="0" t="s">
        <v>816</v>
      </c>
    </row>
    <row r="2742" customFormat="false" ht="12.8" hidden="false" customHeight="false" outlineLevel="0" collapsed="false">
      <c r="A2742" s="1" t="s">
        <v>1192</v>
      </c>
      <c r="B2742" s="2" t="s">
        <v>1485</v>
      </c>
      <c r="C2742" s="3" t="s">
        <v>1394</v>
      </c>
      <c r="D2742" s="4" t="s">
        <v>1486</v>
      </c>
      <c r="F2742" s="6" t="s">
        <v>1395</v>
      </c>
      <c r="G2742" s="7" t="str">
        <f aca="false">HYPERLINK(CONCATENATE("http://crfop.gdos.gov.pl/CRFOP/widok/viewuzytekekologiczny.jsf?fop=","PL.ZIPOP.1393.UE.1012113.526"),"(kliknij lub Ctrl+kliknij)")</f>
        <v>(kliknij lub Ctrl+kliknij)</v>
      </c>
      <c r="H2742" s="0" t="s">
        <v>816</v>
      </c>
    </row>
    <row r="2743" customFormat="false" ht="12.8" hidden="false" customHeight="false" outlineLevel="0" collapsed="false">
      <c r="A2743" s="1" t="s">
        <v>1192</v>
      </c>
      <c r="B2743" s="2" t="s">
        <v>1487</v>
      </c>
      <c r="C2743" s="3" t="s">
        <v>1394</v>
      </c>
      <c r="D2743" s="4" t="s">
        <v>1215</v>
      </c>
      <c r="F2743" s="6" t="s">
        <v>1395</v>
      </c>
      <c r="G2743" s="7" t="str">
        <f aca="false">HYPERLINK(CONCATENATE("http://crfop.gdos.gov.pl/CRFOP/widok/viewuzytekekologiczny.jsf?fop=","PL.ZIPOP.1393.UE.1012113.527"),"(kliknij lub Ctrl+kliknij)")</f>
        <v>(kliknij lub Ctrl+kliknij)</v>
      </c>
      <c r="H2743" s="0" t="s">
        <v>816</v>
      </c>
    </row>
    <row r="2744" customFormat="false" ht="12.8" hidden="false" customHeight="false" outlineLevel="0" collapsed="false">
      <c r="A2744" s="1" t="s">
        <v>1192</v>
      </c>
      <c r="B2744" s="2" t="s">
        <v>1488</v>
      </c>
      <c r="C2744" s="3" t="s">
        <v>591</v>
      </c>
      <c r="D2744" s="4" t="s">
        <v>1252</v>
      </c>
      <c r="F2744" s="6" t="s">
        <v>1315</v>
      </c>
      <c r="G2744" s="7" t="str">
        <f aca="false">HYPERLINK(CONCATENATE("http://crfop.gdos.gov.pl/CRFOP/widok/viewuzytekekologiczny.jsf?fop=","PL.ZIPOP.1393.UE.1012113.528"),"(kliknij lub Ctrl+kliknij)")</f>
        <v>(kliknij lub Ctrl+kliknij)</v>
      </c>
      <c r="H2744" s="0" t="s">
        <v>816</v>
      </c>
    </row>
    <row r="2745" customFormat="false" ht="12.8" hidden="false" customHeight="false" outlineLevel="0" collapsed="false">
      <c r="A2745" s="1" t="s">
        <v>1192</v>
      </c>
      <c r="B2745" s="2" t="s">
        <v>1489</v>
      </c>
      <c r="C2745" s="3" t="s">
        <v>591</v>
      </c>
      <c r="D2745" s="4" t="s">
        <v>1223</v>
      </c>
      <c r="F2745" s="6" t="s">
        <v>1315</v>
      </c>
      <c r="G2745" s="7" t="str">
        <f aca="false">HYPERLINK(CONCATENATE("http://crfop.gdos.gov.pl/CRFOP/widok/viewuzytekekologiczny.jsf?fop=","PL.ZIPOP.1393.UE.1012113.529"),"(kliknij lub Ctrl+kliknij)")</f>
        <v>(kliknij lub Ctrl+kliknij)</v>
      </c>
      <c r="H2745" s="0" t="s">
        <v>816</v>
      </c>
    </row>
    <row r="2746" customFormat="false" ht="12.8" hidden="false" customHeight="false" outlineLevel="0" collapsed="false">
      <c r="A2746" s="1" t="s">
        <v>1192</v>
      </c>
      <c r="B2746" s="2" t="s">
        <v>1490</v>
      </c>
      <c r="C2746" s="3" t="s">
        <v>591</v>
      </c>
      <c r="D2746" s="4" t="s">
        <v>1245</v>
      </c>
      <c r="F2746" s="6" t="s">
        <v>1315</v>
      </c>
      <c r="G2746" s="7" t="str">
        <f aca="false">HYPERLINK(CONCATENATE("http://crfop.gdos.gov.pl/CRFOP/widok/viewuzytekekologiczny.jsf?fop=","PL.ZIPOP.1393.UE.1012113.530"),"(kliknij lub Ctrl+kliknij)")</f>
        <v>(kliknij lub Ctrl+kliknij)</v>
      </c>
      <c r="H2746" s="0" t="s">
        <v>816</v>
      </c>
    </row>
    <row r="2747" customFormat="false" ht="12.8" hidden="false" customHeight="false" outlineLevel="0" collapsed="false">
      <c r="A2747" s="1" t="s">
        <v>1192</v>
      </c>
      <c r="B2747" s="2" t="s">
        <v>1491</v>
      </c>
      <c r="C2747" s="3" t="s">
        <v>1394</v>
      </c>
      <c r="D2747" s="4" t="s">
        <v>1253</v>
      </c>
      <c r="F2747" s="6" t="s">
        <v>1395</v>
      </c>
      <c r="G2747" s="7" t="str">
        <f aca="false">HYPERLINK(CONCATENATE("http://crfop.gdos.gov.pl/CRFOP/widok/viewuzytekekologiczny.jsf?fop=","PL.ZIPOP.1393.UE.1012113.531"),"(kliknij lub Ctrl+kliknij)")</f>
        <v>(kliknij lub Ctrl+kliknij)</v>
      </c>
      <c r="H2747" s="0" t="s">
        <v>816</v>
      </c>
    </row>
    <row r="2748" customFormat="false" ht="12.8" hidden="false" customHeight="false" outlineLevel="0" collapsed="false">
      <c r="A2748" s="1" t="s">
        <v>1192</v>
      </c>
      <c r="C2748" s="3" t="s">
        <v>591</v>
      </c>
      <c r="D2748" s="4" t="s">
        <v>1338</v>
      </c>
      <c r="F2748" s="6" t="s">
        <v>1315</v>
      </c>
      <c r="G2748" s="7" t="str">
        <f aca="false">HYPERLINK(CONCATENATE("http://crfop.gdos.gov.pl/CRFOP/widok/viewuzytekekologiczny.jsf?fop=","PL.ZIPOP.1393.UE.1012113.532"),"(kliknij lub Ctrl+kliknij)")</f>
        <v>(kliknij lub Ctrl+kliknij)</v>
      </c>
      <c r="H2748" s="0" t="s">
        <v>816</v>
      </c>
    </row>
    <row r="2749" customFormat="false" ht="12.8" hidden="false" customHeight="false" outlineLevel="0" collapsed="false">
      <c r="A2749" s="1" t="s">
        <v>1192</v>
      </c>
      <c r="B2749" s="2" t="s">
        <v>1492</v>
      </c>
      <c r="C2749" s="3" t="s">
        <v>1394</v>
      </c>
      <c r="D2749" s="4" t="s">
        <v>1201</v>
      </c>
      <c r="F2749" s="6" t="s">
        <v>1395</v>
      </c>
      <c r="G2749" s="7" t="str">
        <f aca="false">HYPERLINK(CONCATENATE("http://crfop.gdos.gov.pl/CRFOP/widok/viewuzytekekologiczny.jsf?fop=","PL.ZIPOP.1393.UE.1012113.533"),"(kliknij lub Ctrl+kliknij)")</f>
        <v>(kliknij lub Ctrl+kliknij)</v>
      </c>
      <c r="H2749" s="0" t="s">
        <v>816</v>
      </c>
    </row>
    <row r="2750" customFormat="false" ht="12.8" hidden="false" customHeight="false" outlineLevel="0" collapsed="false">
      <c r="A2750" s="1" t="s">
        <v>1192</v>
      </c>
      <c r="B2750" s="2" t="s">
        <v>1493</v>
      </c>
      <c r="C2750" s="3" t="s">
        <v>574</v>
      </c>
      <c r="D2750" s="4" t="s">
        <v>1339</v>
      </c>
      <c r="F2750" s="6" t="s">
        <v>1198</v>
      </c>
      <c r="G2750" s="7" t="str">
        <f aca="false">HYPERLINK(CONCATENATE("http://crfop.gdos.gov.pl/CRFOP/widok/viewuzytekekologiczny.jsf?fop=","PL.ZIPOP.1393.UE.1012122.534"),"(kliknij lub Ctrl+kliknij)")</f>
        <v>(kliknij lub Ctrl+kliknij)</v>
      </c>
      <c r="H2750" s="0" t="s">
        <v>793</v>
      </c>
    </row>
    <row r="2751" customFormat="false" ht="12.8" hidden="false" customHeight="false" outlineLevel="0" collapsed="false">
      <c r="A2751" s="1" t="s">
        <v>1192</v>
      </c>
      <c r="B2751" s="2" t="s">
        <v>1494</v>
      </c>
      <c r="C2751" s="3" t="s">
        <v>574</v>
      </c>
      <c r="D2751" s="4" t="s">
        <v>1364</v>
      </c>
      <c r="F2751" s="6" t="s">
        <v>1198</v>
      </c>
      <c r="G2751" s="7" t="str">
        <f aca="false">HYPERLINK(CONCATENATE("http://crfop.gdos.gov.pl/CRFOP/widok/viewuzytekekologiczny.jsf?fop=","PL.ZIPOP.1393.UE.1012122.535"),"(kliknij lub Ctrl+kliknij)")</f>
        <v>(kliknij lub Ctrl+kliknij)</v>
      </c>
      <c r="H2751" s="0" t="s">
        <v>793</v>
      </c>
    </row>
    <row r="2752" customFormat="false" ht="12.8" hidden="false" customHeight="false" outlineLevel="0" collapsed="false">
      <c r="A2752" s="1" t="s">
        <v>1192</v>
      </c>
      <c r="B2752" s="2" t="s">
        <v>1495</v>
      </c>
      <c r="C2752" s="3" t="s">
        <v>574</v>
      </c>
      <c r="D2752" s="4" t="s">
        <v>1236</v>
      </c>
      <c r="F2752" s="6" t="s">
        <v>1198</v>
      </c>
      <c r="G2752" s="7" t="str">
        <f aca="false">HYPERLINK(CONCATENATE("http://crfop.gdos.gov.pl/CRFOP/widok/viewuzytekekologiczny.jsf?fop=","PL.ZIPOP.1393.UE.1012122.536"),"(kliknij lub Ctrl+kliknij)")</f>
        <v>(kliknij lub Ctrl+kliknij)</v>
      </c>
      <c r="H2752" s="0" t="s">
        <v>793</v>
      </c>
    </row>
    <row r="2753" customFormat="false" ht="12.8" hidden="false" customHeight="false" outlineLevel="0" collapsed="false">
      <c r="A2753" s="1" t="s">
        <v>1192</v>
      </c>
      <c r="B2753" s="2" t="s">
        <v>1496</v>
      </c>
      <c r="C2753" s="3" t="s">
        <v>574</v>
      </c>
      <c r="D2753" s="4" t="s">
        <v>1421</v>
      </c>
      <c r="F2753" s="6" t="s">
        <v>1198</v>
      </c>
      <c r="G2753" s="7" t="str">
        <f aca="false">HYPERLINK(CONCATENATE("http://crfop.gdos.gov.pl/CRFOP/widok/viewuzytekekologiczny.jsf?fop=","PL.ZIPOP.1393.UE.1012122.537"),"(kliknij lub Ctrl+kliknij)")</f>
        <v>(kliknij lub Ctrl+kliknij)</v>
      </c>
      <c r="H2753" s="0" t="s">
        <v>793</v>
      </c>
    </row>
    <row r="2754" customFormat="false" ht="12.8" hidden="false" customHeight="false" outlineLevel="0" collapsed="false">
      <c r="A2754" s="1" t="s">
        <v>1192</v>
      </c>
      <c r="B2754" s="2" t="s">
        <v>1497</v>
      </c>
      <c r="C2754" s="3" t="s">
        <v>574</v>
      </c>
      <c r="D2754" s="4" t="s">
        <v>1300</v>
      </c>
      <c r="F2754" s="6" t="s">
        <v>1198</v>
      </c>
      <c r="G2754" s="7" t="str">
        <f aca="false">HYPERLINK(CONCATENATE("http://crfop.gdos.gov.pl/CRFOP/widok/viewuzytekekologiczny.jsf?fop=","PL.ZIPOP.1393.UE.1012122.538"),"(kliknij lub Ctrl+kliknij)")</f>
        <v>(kliknij lub Ctrl+kliknij)</v>
      </c>
      <c r="H2754" s="0" t="s">
        <v>793</v>
      </c>
    </row>
    <row r="2755" customFormat="false" ht="12.8" hidden="false" customHeight="false" outlineLevel="0" collapsed="false">
      <c r="A2755" s="1" t="s">
        <v>1192</v>
      </c>
      <c r="B2755" s="2" t="s">
        <v>1498</v>
      </c>
      <c r="C2755" s="3" t="s">
        <v>574</v>
      </c>
      <c r="D2755" s="4" t="s">
        <v>1341</v>
      </c>
      <c r="F2755" s="6" t="s">
        <v>1198</v>
      </c>
      <c r="G2755" s="7" t="str">
        <f aca="false">HYPERLINK(CONCATENATE("http://crfop.gdos.gov.pl/CRFOP/widok/viewuzytekekologiczny.jsf?fop=","PL.ZIPOP.1393.UE.1012122.539"),"(kliknij lub Ctrl+kliknij)")</f>
        <v>(kliknij lub Ctrl+kliknij)</v>
      </c>
      <c r="H2755" s="0" t="s">
        <v>793</v>
      </c>
    </row>
    <row r="2756" customFormat="false" ht="12.8" hidden="false" customHeight="false" outlineLevel="0" collapsed="false">
      <c r="A2756" s="1" t="s">
        <v>1192</v>
      </c>
      <c r="B2756" s="2" t="s">
        <v>1499</v>
      </c>
      <c r="C2756" s="3" t="s">
        <v>574</v>
      </c>
      <c r="D2756" s="4" t="s">
        <v>1500</v>
      </c>
      <c r="F2756" s="6" t="s">
        <v>1198</v>
      </c>
      <c r="G2756" s="7" t="str">
        <f aca="false">HYPERLINK(CONCATENATE("http://crfop.gdos.gov.pl/CRFOP/widok/viewuzytekekologiczny.jsf?fop=","PL.ZIPOP.1393.UE.1012122.540"),"(kliknij lub Ctrl+kliknij)")</f>
        <v>(kliknij lub Ctrl+kliknij)</v>
      </c>
      <c r="H2756" s="0" t="s">
        <v>793</v>
      </c>
    </row>
    <row r="2757" customFormat="false" ht="12.8" hidden="false" customHeight="false" outlineLevel="0" collapsed="false">
      <c r="A2757" s="1" t="s">
        <v>1192</v>
      </c>
      <c r="B2757" s="2" t="s">
        <v>1501</v>
      </c>
      <c r="C2757" s="3" t="s">
        <v>574</v>
      </c>
      <c r="D2757" s="4" t="s">
        <v>1266</v>
      </c>
      <c r="F2757" s="6" t="s">
        <v>1198</v>
      </c>
      <c r="G2757" s="7" t="str">
        <f aca="false">HYPERLINK(CONCATENATE("http://crfop.gdos.gov.pl/CRFOP/widok/viewuzytekekologiczny.jsf?fop=","PL.ZIPOP.1393.UE.1012122.541"),"(kliknij lub Ctrl+kliknij)")</f>
        <v>(kliknij lub Ctrl+kliknij)</v>
      </c>
      <c r="H2757" s="0" t="s">
        <v>793</v>
      </c>
    </row>
    <row r="2758" customFormat="false" ht="12.8" hidden="false" customHeight="false" outlineLevel="0" collapsed="false">
      <c r="A2758" s="1" t="s">
        <v>1192</v>
      </c>
      <c r="B2758" s="2" t="s">
        <v>1502</v>
      </c>
      <c r="C2758" s="3" t="s">
        <v>574</v>
      </c>
      <c r="D2758" s="4" t="s">
        <v>1503</v>
      </c>
      <c r="F2758" s="6" t="s">
        <v>1198</v>
      </c>
      <c r="G2758" s="7" t="str">
        <f aca="false">HYPERLINK(CONCATENATE("http://crfop.gdos.gov.pl/CRFOP/widok/viewuzytekekologiczny.jsf?fop=","PL.ZIPOP.1393.UE.1012122.543"),"(kliknij lub Ctrl+kliknij)")</f>
        <v>(kliknij lub Ctrl+kliknij)</v>
      </c>
      <c r="H2758" s="0" t="s">
        <v>793</v>
      </c>
    </row>
    <row r="2759" customFormat="false" ht="12.8" hidden="false" customHeight="false" outlineLevel="0" collapsed="false">
      <c r="A2759" s="1" t="s">
        <v>1192</v>
      </c>
      <c r="B2759" s="2" t="s">
        <v>1504</v>
      </c>
      <c r="C2759" s="3" t="s">
        <v>574</v>
      </c>
      <c r="D2759" s="4" t="s">
        <v>1272</v>
      </c>
      <c r="F2759" s="6" t="s">
        <v>1198</v>
      </c>
      <c r="G2759" s="7" t="str">
        <f aca="false">HYPERLINK(CONCATENATE("http://crfop.gdos.gov.pl/CRFOP/widok/viewuzytekekologiczny.jsf?fop=","PL.ZIPOP.1393.UE.1012122.544"),"(kliknij lub Ctrl+kliknij)")</f>
        <v>(kliknij lub Ctrl+kliknij)</v>
      </c>
      <c r="H2759" s="0" t="s">
        <v>793</v>
      </c>
    </row>
    <row r="2760" customFormat="false" ht="12.8" hidden="false" customHeight="false" outlineLevel="0" collapsed="false">
      <c r="A2760" s="1" t="s">
        <v>1192</v>
      </c>
      <c r="B2760" s="2" t="s">
        <v>1505</v>
      </c>
      <c r="C2760" s="3" t="s">
        <v>574</v>
      </c>
      <c r="D2760" s="4" t="s">
        <v>1302</v>
      </c>
      <c r="F2760" s="6" t="s">
        <v>1198</v>
      </c>
      <c r="G2760" s="7" t="str">
        <f aca="false">HYPERLINK(CONCATENATE("http://crfop.gdos.gov.pl/CRFOP/widok/viewuzytekekologiczny.jsf?fop=","PL.ZIPOP.1393.UE.1012122.545"),"(kliknij lub Ctrl+kliknij)")</f>
        <v>(kliknij lub Ctrl+kliknij)</v>
      </c>
      <c r="H2760" s="0" t="s">
        <v>793</v>
      </c>
    </row>
    <row r="2761" customFormat="false" ht="12.8" hidden="false" customHeight="false" outlineLevel="0" collapsed="false">
      <c r="A2761" s="1" t="s">
        <v>1192</v>
      </c>
      <c r="B2761" s="2" t="s">
        <v>1506</v>
      </c>
      <c r="C2761" s="3" t="s">
        <v>574</v>
      </c>
      <c r="D2761" s="4" t="s">
        <v>1389</v>
      </c>
      <c r="F2761" s="6" t="s">
        <v>1198</v>
      </c>
      <c r="G2761" s="7" t="str">
        <f aca="false">HYPERLINK(CONCATENATE("http://crfop.gdos.gov.pl/CRFOP/widok/viewuzytekekologiczny.jsf?fop=","PL.ZIPOP.1393.UE.1012122.546"),"(kliknij lub Ctrl+kliknij)")</f>
        <v>(kliknij lub Ctrl+kliknij)</v>
      </c>
      <c r="H2761" s="0" t="s">
        <v>793</v>
      </c>
    </row>
    <row r="2762" customFormat="false" ht="12.8" hidden="false" customHeight="false" outlineLevel="0" collapsed="false">
      <c r="A2762" s="1" t="s">
        <v>1192</v>
      </c>
      <c r="B2762" s="2" t="s">
        <v>1507</v>
      </c>
      <c r="C2762" s="3" t="s">
        <v>574</v>
      </c>
      <c r="D2762" s="4" t="s">
        <v>1340</v>
      </c>
      <c r="F2762" s="6" t="s">
        <v>1198</v>
      </c>
      <c r="G2762" s="7" t="str">
        <f aca="false">HYPERLINK(CONCATENATE("http://crfop.gdos.gov.pl/CRFOP/widok/viewuzytekekologiczny.jsf?fop=","PL.ZIPOP.1393.UE.1012122.547"),"(kliknij lub Ctrl+kliknij)")</f>
        <v>(kliknij lub Ctrl+kliknij)</v>
      </c>
      <c r="H2762" s="0" t="s">
        <v>793</v>
      </c>
    </row>
    <row r="2763" customFormat="false" ht="12.8" hidden="false" customHeight="false" outlineLevel="0" collapsed="false">
      <c r="A2763" s="1" t="s">
        <v>1192</v>
      </c>
      <c r="B2763" s="2" t="s">
        <v>1508</v>
      </c>
      <c r="C2763" s="3" t="s">
        <v>574</v>
      </c>
      <c r="D2763" s="4" t="s">
        <v>1364</v>
      </c>
      <c r="F2763" s="6" t="s">
        <v>1509</v>
      </c>
      <c r="G2763" s="7" t="str">
        <f aca="false">HYPERLINK(CONCATENATE("http://crfop.gdos.gov.pl/CRFOP/widok/viewuzytekekologiczny.jsf?fop=","PL.ZIPOP.1393.UE.1012122.548"),"(kliknij lub Ctrl+kliknij)")</f>
        <v>(kliknij lub Ctrl+kliknij)</v>
      </c>
      <c r="H2763" s="0" t="s">
        <v>793</v>
      </c>
    </row>
    <row r="2764" customFormat="false" ht="12.8" hidden="false" customHeight="false" outlineLevel="0" collapsed="false">
      <c r="A2764" s="1" t="s">
        <v>1192</v>
      </c>
      <c r="B2764" s="2" t="s">
        <v>1510</v>
      </c>
      <c r="C2764" s="3" t="s">
        <v>574</v>
      </c>
      <c r="D2764" s="4" t="s">
        <v>1227</v>
      </c>
      <c r="F2764" s="6" t="s">
        <v>1509</v>
      </c>
      <c r="G2764" s="7" t="str">
        <f aca="false">HYPERLINK(CONCATENATE("http://crfop.gdos.gov.pl/CRFOP/widok/viewuzytekekologiczny.jsf?fop=","PL.ZIPOP.1393.UE.1012122.549"),"(kliknij lub Ctrl+kliknij)")</f>
        <v>(kliknij lub Ctrl+kliknij)</v>
      </c>
      <c r="H2764" s="0" t="s">
        <v>793</v>
      </c>
    </row>
    <row r="2765" customFormat="false" ht="12.8" hidden="false" customHeight="false" outlineLevel="0" collapsed="false">
      <c r="A2765" s="1" t="s">
        <v>1192</v>
      </c>
      <c r="B2765" s="2" t="s">
        <v>1511</v>
      </c>
      <c r="C2765" s="3" t="s">
        <v>574</v>
      </c>
      <c r="D2765" s="4" t="s">
        <v>1253</v>
      </c>
      <c r="F2765" s="6" t="s">
        <v>1509</v>
      </c>
      <c r="G2765" s="7" t="str">
        <f aca="false">HYPERLINK(CONCATENATE("http://crfop.gdos.gov.pl/CRFOP/widok/viewuzytekekologiczny.jsf?fop=","PL.ZIPOP.1393.UE.1012122.550"),"(kliknij lub Ctrl+kliknij)")</f>
        <v>(kliknij lub Ctrl+kliknij)</v>
      </c>
      <c r="H2765" s="0" t="s">
        <v>793</v>
      </c>
    </row>
    <row r="2766" customFormat="false" ht="12.8" hidden="false" customHeight="false" outlineLevel="0" collapsed="false">
      <c r="A2766" s="1" t="s">
        <v>1192</v>
      </c>
      <c r="B2766" s="2" t="s">
        <v>1512</v>
      </c>
      <c r="C2766" s="3" t="s">
        <v>574</v>
      </c>
      <c r="D2766" s="4" t="s">
        <v>1383</v>
      </c>
      <c r="F2766" s="6" t="s">
        <v>1509</v>
      </c>
      <c r="G2766" s="7" t="str">
        <f aca="false">HYPERLINK(CONCATENATE("http://crfop.gdos.gov.pl/CRFOP/widok/viewuzytekekologiczny.jsf?fop=","PL.ZIPOP.1393.UE.1012122.551"),"(kliknij lub Ctrl+kliknij)")</f>
        <v>(kliknij lub Ctrl+kliknij)</v>
      </c>
      <c r="H2766" s="0" t="s">
        <v>793</v>
      </c>
    </row>
    <row r="2767" customFormat="false" ht="12.8" hidden="false" customHeight="false" outlineLevel="0" collapsed="false">
      <c r="A2767" s="1" t="s">
        <v>1192</v>
      </c>
      <c r="B2767" s="2" t="s">
        <v>1513</v>
      </c>
      <c r="C2767" s="3" t="s">
        <v>574</v>
      </c>
      <c r="D2767" s="4" t="s">
        <v>1356</v>
      </c>
      <c r="F2767" s="6" t="s">
        <v>1509</v>
      </c>
      <c r="G2767" s="7" t="str">
        <f aca="false">HYPERLINK(CONCATENATE("http://crfop.gdos.gov.pl/CRFOP/widok/viewuzytekekologiczny.jsf?fop=","PL.ZIPOP.1393.UE.1012122.552"),"(kliknij lub Ctrl+kliknij)")</f>
        <v>(kliknij lub Ctrl+kliknij)</v>
      </c>
      <c r="H2767" s="0" t="s">
        <v>793</v>
      </c>
    </row>
    <row r="2768" customFormat="false" ht="12.8" hidden="false" customHeight="false" outlineLevel="0" collapsed="false">
      <c r="A2768" s="1" t="s">
        <v>1192</v>
      </c>
      <c r="B2768" s="2" t="s">
        <v>1514</v>
      </c>
      <c r="C2768" s="3" t="s">
        <v>574</v>
      </c>
      <c r="D2768" s="4" t="s">
        <v>1318</v>
      </c>
      <c r="F2768" s="6" t="s">
        <v>1198</v>
      </c>
      <c r="G2768" s="7" t="str">
        <f aca="false">HYPERLINK(CONCATENATE("http://crfop.gdos.gov.pl/CRFOP/widok/viewuzytekekologiczny.jsf?fop=","PL.ZIPOP.1393.UE.1012122.553"),"(kliknij lub Ctrl+kliknij)")</f>
        <v>(kliknij lub Ctrl+kliknij)</v>
      </c>
      <c r="H2768" s="0" t="s">
        <v>793</v>
      </c>
    </row>
    <row r="2769" customFormat="false" ht="12.8" hidden="false" customHeight="false" outlineLevel="0" collapsed="false">
      <c r="A2769" s="1" t="s">
        <v>1192</v>
      </c>
      <c r="B2769" s="2" t="s">
        <v>1515</v>
      </c>
      <c r="C2769" s="3" t="s">
        <v>574</v>
      </c>
      <c r="D2769" s="4" t="s">
        <v>1200</v>
      </c>
      <c r="F2769" s="6" t="s">
        <v>1198</v>
      </c>
      <c r="G2769" s="7" t="str">
        <f aca="false">HYPERLINK(CONCATENATE("http://crfop.gdos.gov.pl/CRFOP/widok/viewuzytekekologiczny.jsf?fop=","PL.ZIPOP.1393.UE.1012122.554"),"(kliknij lub Ctrl+kliknij)")</f>
        <v>(kliknij lub Ctrl+kliknij)</v>
      </c>
      <c r="H2769" s="0" t="s">
        <v>793</v>
      </c>
    </row>
    <row r="2770" customFormat="false" ht="12.8" hidden="false" customHeight="false" outlineLevel="0" collapsed="false">
      <c r="A2770" s="1" t="s">
        <v>1192</v>
      </c>
      <c r="B2770" s="2" t="s">
        <v>1516</v>
      </c>
      <c r="C2770" s="3" t="s">
        <v>574</v>
      </c>
      <c r="D2770" s="4" t="s">
        <v>1517</v>
      </c>
      <c r="F2770" s="6" t="s">
        <v>1198</v>
      </c>
      <c r="G2770" s="7" t="str">
        <f aca="false">HYPERLINK(CONCATENATE("http://crfop.gdos.gov.pl/CRFOP/widok/viewuzytekekologiczny.jsf?fop=","PL.ZIPOP.1393.UE.1012122.555"),"(kliknij lub Ctrl+kliknij)")</f>
        <v>(kliknij lub Ctrl+kliknij)</v>
      </c>
      <c r="H2770" s="0" t="s">
        <v>793</v>
      </c>
    </row>
    <row r="2771" customFormat="false" ht="91.65" hidden="false" customHeight="false" outlineLevel="0" collapsed="false">
      <c r="A2771" s="1" t="s">
        <v>1192</v>
      </c>
      <c r="B2771" s="2" t="s">
        <v>1518</v>
      </c>
      <c r="C2771" s="3" t="s">
        <v>574</v>
      </c>
      <c r="D2771" s="4" t="s">
        <v>1434</v>
      </c>
      <c r="F2771" s="10" t="s">
        <v>1198</v>
      </c>
      <c r="G2771" s="7" t="str">
        <f aca="false">HYPERLINK(CONCATENATE("http://crfop.gdos.gov.pl/CRFOP/widok/viewuzytekekologiczny.jsf?fop=","PL.ZIPOP.1393.UE.1012122.556"),"(kliknij lub Ctrl+kliknij)")</f>
        <v>(kliknij lub Ctrl+kliknij)</v>
      </c>
      <c r="H2771" s="0" t="s">
        <v>793</v>
      </c>
    </row>
    <row r="2772" customFormat="false" ht="12.8" hidden="false" customHeight="false" outlineLevel="0" collapsed="false">
      <c r="A2772" s="1" t="s">
        <v>1192</v>
      </c>
      <c r="B2772" s="2" t="s">
        <v>1519</v>
      </c>
      <c r="C2772" s="3" t="s">
        <v>574</v>
      </c>
      <c r="D2772" s="4" t="s">
        <v>1225</v>
      </c>
      <c r="F2772" s="6" t="s">
        <v>1198</v>
      </c>
      <c r="G2772" s="7" t="str">
        <f aca="false">HYPERLINK(CONCATENATE("http://crfop.gdos.gov.pl/CRFOP/widok/viewuzytekekologiczny.jsf?fop=","PL.ZIPOP.1393.UE.1012122.557"),"(kliknij lub Ctrl+kliknij)")</f>
        <v>(kliknij lub Ctrl+kliknij)</v>
      </c>
      <c r="H2772" s="0" t="s">
        <v>793</v>
      </c>
    </row>
    <row r="2773" customFormat="false" ht="12.8" hidden="false" customHeight="false" outlineLevel="0" collapsed="false">
      <c r="A2773" s="1" t="s">
        <v>1192</v>
      </c>
      <c r="B2773" s="2" t="s">
        <v>1520</v>
      </c>
      <c r="C2773" s="3" t="s">
        <v>574</v>
      </c>
      <c r="D2773" s="4" t="s">
        <v>1475</v>
      </c>
      <c r="F2773" s="6" t="s">
        <v>1509</v>
      </c>
      <c r="G2773" s="7" t="str">
        <f aca="false">HYPERLINK(CONCATENATE("http://crfop.gdos.gov.pl/CRFOP/widok/viewuzytekekologiczny.jsf?fop=","PL.ZIPOP.1393.UE.1012122.558"),"(kliknij lub Ctrl+kliknij)")</f>
        <v>(kliknij lub Ctrl+kliknij)</v>
      </c>
      <c r="H2773" s="0" t="s">
        <v>793</v>
      </c>
    </row>
    <row r="2774" customFormat="false" ht="12.8" hidden="false" customHeight="false" outlineLevel="0" collapsed="false">
      <c r="A2774" s="1" t="s">
        <v>1192</v>
      </c>
      <c r="B2774" s="2" t="s">
        <v>1521</v>
      </c>
      <c r="C2774" s="3" t="s">
        <v>574</v>
      </c>
      <c r="D2774" s="4" t="s">
        <v>1224</v>
      </c>
      <c r="F2774" s="6" t="s">
        <v>1198</v>
      </c>
      <c r="G2774" s="7" t="str">
        <f aca="false">HYPERLINK(CONCATENATE("http://crfop.gdos.gov.pl/CRFOP/widok/viewuzytekekologiczny.jsf?fop=","PL.ZIPOP.1393.UE.1012122.559"),"(kliknij lub Ctrl+kliknij)")</f>
        <v>(kliknij lub Ctrl+kliknij)</v>
      </c>
      <c r="H2774" s="0" t="s">
        <v>793</v>
      </c>
    </row>
    <row r="2775" customFormat="false" ht="12.8" hidden="false" customHeight="false" outlineLevel="0" collapsed="false">
      <c r="A2775" s="1" t="s">
        <v>1192</v>
      </c>
      <c r="C2775" s="3" t="s">
        <v>574</v>
      </c>
      <c r="D2775" s="4" t="s">
        <v>1522</v>
      </c>
      <c r="F2775" s="6" t="s">
        <v>1198</v>
      </c>
      <c r="G2775" s="7" t="str">
        <f aca="false">HYPERLINK(CONCATENATE("http://crfop.gdos.gov.pl/CRFOP/widok/viewuzytekekologiczny.jsf?fop=","PL.ZIPOP.1393.UE.1012132.560"),"(kliknij lub Ctrl+kliknij)")</f>
        <v>(kliknij lub Ctrl+kliknij)</v>
      </c>
      <c r="H2775" s="0" t="s">
        <v>819</v>
      </c>
    </row>
    <row r="2776" customFormat="false" ht="12.8" hidden="false" customHeight="false" outlineLevel="0" collapsed="false">
      <c r="A2776" s="1" t="s">
        <v>1192</v>
      </c>
      <c r="C2776" s="3" t="s">
        <v>574</v>
      </c>
      <c r="D2776" s="4" t="s">
        <v>1225</v>
      </c>
      <c r="F2776" s="6" t="s">
        <v>1198</v>
      </c>
      <c r="G2776" s="7" t="str">
        <f aca="false">HYPERLINK(CONCATENATE("http://crfop.gdos.gov.pl/CRFOP/widok/viewuzytekekologiczny.jsf?fop=","PL.ZIPOP.1393.UE.1012132.561"),"(kliknij lub Ctrl+kliknij)")</f>
        <v>(kliknij lub Ctrl+kliknij)</v>
      </c>
      <c r="H2776" s="0" t="s">
        <v>819</v>
      </c>
    </row>
    <row r="2777" customFormat="false" ht="12.8" hidden="false" customHeight="false" outlineLevel="0" collapsed="false">
      <c r="A2777" s="1" t="s">
        <v>1192</v>
      </c>
      <c r="C2777" s="3" t="s">
        <v>1193</v>
      </c>
      <c r="D2777" s="4" t="s">
        <v>1225</v>
      </c>
      <c r="F2777" s="6" t="s">
        <v>1195</v>
      </c>
      <c r="G2777" s="7" t="str">
        <f aca="false">HYPERLINK(CONCATENATE("http://crfop.gdos.gov.pl/CRFOP/widok/viewuzytekekologiczny.jsf?fop=","PL.ZIPOP.1393.UE.1012132.562"),"(kliknij lub Ctrl+kliknij)")</f>
        <v>(kliknij lub Ctrl+kliknij)</v>
      </c>
      <c r="H2777" s="0" t="s">
        <v>819</v>
      </c>
    </row>
    <row r="2778" customFormat="false" ht="12.8" hidden="false" customHeight="false" outlineLevel="0" collapsed="false">
      <c r="A2778" s="1" t="s">
        <v>1192</v>
      </c>
      <c r="C2778" s="3" t="s">
        <v>1193</v>
      </c>
      <c r="D2778" s="4" t="s">
        <v>1235</v>
      </c>
      <c r="F2778" s="6" t="s">
        <v>1195</v>
      </c>
      <c r="G2778" s="7" t="str">
        <f aca="false">HYPERLINK(CONCATENATE("http://crfop.gdos.gov.pl/CRFOP/widok/viewuzytekekologiczny.jsf?fop=","PL.ZIPOP.1393.UE.1012132.563"),"(kliknij lub Ctrl+kliknij)")</f>
        <v>(kliknij lub Ctrl+kliknij)</v>
      </c>
      <c r="H2778" s="0" t="s">
        <v>819</v>
      </c>
    </row>
    <row r="2779" customFormat="false" ht="12.8" hidden="false" customHeight="false" outlineLevel="0" collapsed="false">
      <c r="A2779" s="1" t="s">
        <v>1192</v>
      </c>
      <c r="C2779" s="3" t="s">
        <v>574</v>
      </c>
      <c r="D2779" s="4" t="s">
        <v>1364</v>
      </c>
      <c r="F2779" s="6" t="s">
        <v>1198</v>
      </c>
      <c r="G2779" s="7" t="str">
        <f aca="false">HYPERLINK(CONCATENATE("http://crfop.gdos.gov.pl/CRFOP/widok/viewuzytekekologiczny.jsf?fop=","PL.ZIPOP.1393.UE.1012132.881"),"(kliknij lub Ctrl+kliknij)")</f>
        <v>(kliknij lub Ctrl+kliknij)</v>
      </c>
      <c r="H2779" s="0" t="s">
        <v>819</v>
      </c>
    </row>
    <row r="2780" customFormat="false" ht="12.8" hidden="false" customHeight="false" outlineLevel="0" collapsed="false">
      <c r="A2780" s="1" t="s">
        <v>1192</v>
      </c>
      <c r="C2780" s="3" t="s">
        <v>1100</v>
      </c>
      <c r="D2780" s="4" t="s">
        <v>1523</v>
      </c>
      <c r="F2780" s="6" t="s">
        <v>1305</v>
      </c>
      <c r="G2780" s="7" t="str">
        <f aca="false">HYPERLINK(CONCATENATE("http://crfop.gdos.gov.pl/CRFOP/widok/viewuzytekekologiczny.jsf?fop=","PL.ZIPOP.1393.UE.1013023.71"),"(kliknij lub Ctrl+kliknij)")</f>
        <v>(kliknij lub Ctrl+kliknij)</v>
      </c>
      <c r="H2780" s="0" t="s">
        <v>827</v>
      </c>
    </row>
    <row r="2781" customFormat="false" ht="12.8" hidden="false" customHeight="false" outlineLevel="0" collapsed="false">
      <c r="A2781" s="1" t="s">
        <v>1192</v>
      </c>
      <c r="C2781" s="3" t="s">
        <v>1299</v>
      </c>
      <c r="D2781" s="4" t="s">
        <v>1524</v>
      </c>
      <c r="F2781" s="6" t="s">
        <v>1303</v>
      </c>
      <c r="G2781" s="7" t="str">
        <f aca="false">HYPERLINK(CONCATENATE("http://crfop.gdos.gov.pl/CRFOP/widok/viewuzytekekologiczny.jsf?fop=","PL.ZIPOP.1393.UE.1013042.72"),"(kliknij lub Ctrl+kliknij)")</f>
        <v>(kliknij lub Ctrl+kliknij)</v>
      </c>
      <c r="H2781" s="0" t="s">
        <v>823</v>
      </c>
    </row>
    <row r="2782" customFormat="false" ht="12.8" hidden="false" customHeight="false" outlineLevel="0" collapsed="false">
      <c r="A2782" s="1" t="s">
        <v>1192</v>
      </c>
      <c r="C2782" s="3" t="s">
        <v>1299</v>
      </c>
      <c r="D2782" s="4" t="s">
        <v>1221</v>
      </c>
      <c r="F2782" s="6" t="s">
        <v>1303</v>
      </c>
      <c r="G2782" s="7" t="str">
        <f aca="false">HYPERLINK(CONCATENATE("http://crfop.gdos.gov.pl/CRFOP/widok/viewuzytekekologiczny.jsf?fop=","PL.ZIPOP.1393.UE.1013042.73"),"(kliknij lub Ctrl+kliknij)")</f>
        <v>(kliknij lub Ctrl+kliknij)</v>
      </c>
      <c r="H2782" s="0" t="s">
        <v>823</v>
      </c>
    </row>
    <row r="2783" customFormat="false" ht="12.8" hidden="false" customHeight="false" outlineLevel="0" collapsed="false">
      <c r="A2783" s="1" t="s">
        <v>1192</v>
      </c>
      <c r="C2783" s="3" t="s">
        <v>1299</v>
      </c>
      <c r="D2783" s="4" t="s">
        <v>1272</v>
      </c>
      <c r="F2783" s="6" t="s">
        <v>1303</v>
      </c>
      <c r="G2783" s="7" t="str">
        <f aca="false">HYPERLINK(CONCATENATE("http://crfop.gdos.gov.pl/CRFOP/widok/viewuzytekekologiczny.jsf?fop=","PL.ZIPOP.1393.UE.1013042.74"),"(kliknij lub Ctrl+kliknij)")</f>
        <v>(kliknij lub Ctrl+kliknij)</v>
      </c>
      <c r="H2783" s="0" t="s">
        <v>823</v>
      </c>
    </row>
    <row r="2784" customFormat="false" ht="12.8" hidden="false" customHeight="false" outlineLevel="0" collapsed="false">
      <c r="A2784" s="1" t="s">
        <v>1192</v>
      </c>
      <c r="C2784" s="3" t="s">
        <v>1299</v>
      </c>
      <c r="D2784" s="4" t="s">
        <v>1217</v>
      </c>
      <c r="F2784" s="6" t="s">
        <v>1303</v>
      </c>
      <c r="G2784" s="7" t="str">
        <f aca="false">HYPERLINK(CONCATENATE("http://crfop.gdos.gov.pl/CRFOP/widok/viewuzytekekologiczny.jsf?fop=","PL.ZIPOP.1393.UE.1013062.68"),"(kliknij lub Ctrl+kliknij)")</f>
        <v>(kliknij lub Ctrl+kliknij)</v>
      </c>
      <c r="H2784" s="0" t="s">
        <v>845</v>
      </c>
    </row>
    <row r="2785" customFormat="false" ht="12.8" hidden="false" customHeight="false" outlineLevel="0" collapsed="false">
      <c r="A2785" s="1" t="s">
        <v>1192</v>
      </c>
      <c r="C2785" s="3" t="s">
        <v>1299</v>
      </c>
      <c r="D2785" s="4" t="s">
        <v>1213</v>
      </c>
      <c r="F2785" s="6" t="s">
        <v>1303</v>
      </c>
      <c r="G2785" s="7" t="str">
        <f aca="false">HYPERLINK(CONCATENATE("http://crfop.gdos.gov.pl/CRFOP/widok/viewuzytekekologiczny.jsf?fop=","PL.ZIPOP.1393.UE.1013062.69"),"(kliknij lub Ctrl+kliknij)")</f>
        <v>(kliknij lub Ctrl+kliknij)</v>
      </c>
      <c r="H2785" s="0" t="s">
        <v>845</v>
      </c>
    </row>
    <row r="2786" customFormat="false" ht="12.8" hidden="false" customHeight="false" outlineLevel="0" collapsed="false">
      <c r="A2786" s="1" t="s">
        <v>1192</v>
      </c>
      <c r="C2786" s="3" t="s">
        <v>1299</v>
      </c>
      <c r="D2786" s="4" t="s">
        <v>1354</v>
      </c>
      <c r="F2786" s="6" t="s">
        <v>1303</v>
      </c>
      <c r="G2786" s="7" t="str">
        <f aca="false">HYPERLINK(CONCATENATE("http://crfop.gdos.gov.pl/CRFOP/widok/viewuzytekekologiczny.jsf?fop=","PL.ZIPOP.1393.UE.1013062.70"),"(kliknij lub Ctrl+kliknij)")</f>
        <v>(kliknij lub Ctrl+kliknij)</v>
      </c>
      <c r="H2786" s="0" t="s">
        <v>845</v>
      </c>
    </row>
    <row r="2787" customFormat="false" ht="12.8" hidden="false" customHeight="false" outlineLevel="0" collapsed="false">
      <c r="A2787" s="1" t="s">
        <v>1192</v>
      </c>
      <c r="C2787" s="3" t="s">
        <v>447</v>
      </c>
      <c r="D2787" s="4" t="s">
        <v>1239</v>
      </c>
      <c r="F2787" s="6" t="s">
        <v>1525</v>
      </c>
      <c r="G2787" s="7" t="str">
        <f aca="false">HYPERLINK(CONCATENATE("http://crfop.gdos.gov.pl/CRFOP/widok/viewuzytekekologiczny.jsf?fop=","PL.ZIPOP.1393.UE.1014023.737"),"(kliknij lub Ctrl+kliknij)")</f>
        <v>(kliknij lub Ctrl+kliknij)</v>
      </c>
      <c r="H2787" s="0" t="s">
        <v>849</v>
      </c>
    </row>
    <row r="2788" customFormat="false" ht="12.8" hidden="false" customHeight="false" outlineLevel="0" collapsed="false">
      <c r="A2788" s="1" t="s">
        <v>1192</v>
      </c>
      <c r="C2788" s="3" t="s">
        <v>447</v>
      </c>
      <c r="D2788" s="4" t="s">
        <v>1246</v>
      </c>
      <c r="F2788" s="6" t="s">
        <v>1525</v>
      </c>
      <c r="G2788" s="7" t="str">
        <f aca="false">HYPERLINK(CONCATENATE("http://crfop.gdos.gov.pl/CRFOP/widok/viewuzytekekologiczny.jsf?fop=","PL.ZIPOP.1393.UE.1014023.738"),"(kliknij lub Ctrl+kliknij)")</f>
        <v>(kliknij lub Ctrl+kliknij)</v>
      </c>
      <c r="H2788" s="0" t="s">
        <v>849</v>
      </c>
    </row>
    <row r="2789" customFormat="false" ht="12.8" hidden="false" customHeight="false" outlineLevel="0" collapsed="false">
      <c r="A2789" s="1" t="s">
        <v>1192</v>
      </c>
      <c r="C2789" s="3" t="s">
        <v>447</v>
      </c>
      <c r="D2789" s="4" t="s">
        <v>1245</v>
      </c>
      <c r="F2789" s="6" t="s">
        <v>1525</v>
      </c>
      <c r="G2789" s="7" t="str">
        <f aca="false">HYPERLINK(CONCATENATE("http://crfop.gdos.gov.pl/CRFOP/widok/viewuzytekekologiczny.jsf?fop=","PL.ZIPOP.1393.UE.1014023.739"),"(kliknij lub Ctrl+kliknij)")</f>
        <v>(kliknij lub Ctrl+kliknij)</v>
      </c>
      <c r="H2789" s="0" t="s">
        <v>849</v>
      </c>
    </row>
    <row r="2790" customFormat="false" ht="12.8" hidden="false" customHeight="false" outlineLevel="0" collapsed="false">
      <c r="A2790" s="1" t="s">
        <v>1192</v>
      </c>
      <c r="C2790" s="3" t="s">
        <v>447</v>
      </c>
      <c r="D2790" s="4" t="s">
        <v>1205</v>
      </c>
      <c r="F2790" s="6" t="s">
        <v>1525</v>
      </c>
      <c r="G2790" s="7" t="str">
        <f aca="false">HYPERLINK(CONCATENATE("http://crfop.gdos.gov.pl/CRFOP/widok/viewuzytekekologiczny.jsf?fop=","PL.ZIPOP.1393.UE.1014032.703"),"(kliknij lub Ctrl+kliknij)")</f>
        <v>(kliknij lub Ctrl+kliknij)</v>
      </c>
      <c r="H2790" s="0" t="s">
        <v>850</v>
      </c>
    </row>
    <row r="2791" customFormat="false" ht="12.8" hidden="false" customHeight="false" outlineLevel="0" collapsed="false">
      <c r="A2791" s="1" t="s">
        <v>1192</v>
      </c>
      <c r="C2791" s="3" t="s">
        <v>447</v>
      </c>
      <c r="D2791" s="4" t="s">
        <v>1229</v>
      </c>
      <c r="F2791" s="6" t="s">
        <v>1525</v>
      </c>
      <c r="G2791" s="7" t="str">
        <f aca="false">HYPERLINK(CONCATENATE("http://crfop.gdos.gov.pl/CRFOP/widok/viewuzytekekologiczny.jsf?fop=","PL.ZIPOP.1393.UE.1014032.704"),"(kliknij lub Ctrl+kliknij)")</f>
        <v>(kliknij lub Ctrl+kliknij)</v>
      </c>
      <c r="H2791" s="0" t="s">
        <v>850</v>
      </c>
    </row>
    <row r="2792" customFormat="false" ht="12.8" hidden="false" customHeight="false" outlineLevel="0" collapsed="false">
      <c r="A2792" s="1" t="s">
        <v>1192</v>
      </c>
      <c r="C2792" s="3" t="s">
        <v>447</v>
      </c>
      <c r="D2792" s="4" t="s">
        <v>1526</v>
      </c>
      <c r="F2792" s="6" t="s">
        <v>1525</v>
      </c>
      <c r="G2792" s="7" t="str">
        <f aca="false">HYPERLINK(CONCATENATE("http://crfop.gdos.gov.pl/CRFOP/widok/viewuzytekekologiczny.jsf?fop=","PL.ZIPOP.1393.UE.1014032.705"),"(kliknij lub Ctrl+kliknij)")</f>
        <v>(kliknij lub Ctrl+kliknij)</v>
      </c>
      <c r="H2792" s="0" t="s">
        <v>850</v>
      </c>
    </row>
    <row r="2793" customFormat="false" ht="12.8" hidden="false" customHeight="false" outlineLevel="0" collapsed="false">
      <c r="A2793" s="1" t="s">
        <v>1192</v>
      </c>
      <c r="C2793" s="3" t="s">
        <v>447</v>
      </c>
      <c r="D2793" s="4" t="s">
        <v>1475</v>
      </c>
      <c r="F2793" s="6" t="s">
        <v>1525</v>
      </c>
      <c r="G2793" s="7" t="str">
        <f aca="false">HYPERLINK(CONCATENATE("http://crfop.gdos.gov.pl/CRFOP/widok/viewuzytekekologiczny.jsf?fop=","PL.ZIPOP.1393.UE.1014032.706"),"(kliknij lub Ctrl+kliknij)")</f>
        <v>(kliknij lub Ctrl+kliknij)</v>
      </c>
      <c r="H2793" s="0" t="s">
        <v>850</v>
      </c>
    </row>
    <row r="2794" customFormat="false" ht="69" hidden="false" customHeight="false" outlineLevel="0" collapsed="false">
      <c r="A2794" s="1" t="s">
        <v>1192</v>
      </c>
      <c r="C2794" s="3" t="s">
        <v>1289</v>
      </c>
      <c r="D2794" s="4" t="s">
        <v>1527</v>
      </c>
      <c r="F2794" s="10" t="s">
        <v>1290</v>
      </c>
      <c r="G2794" s="7" t="str">
        <f aca="false">HYPERLINK(CONCATENATE("http://crfop.gdos.gov.pl/CRFOP/widok/viewuzytekekologiczny.jsf?fop=","PL.ZIPOP.1393.UE.1014042.727"),"(kliknij lub Ctrl+kliknij)")</f>
        <v>(kliknij lub Ctrl+kliknij)</v>
      </c>
      <c r="H2794" s="0" t="s">
        <v>851</v>
      </c>
    </row>
    <row r="2795" customFormat="false" ht="12.8" hidden="false" customHeight="false" outlineLevel="0" collapsed="false">
      <c r="A2795" s="1" t="s">
        <v>1192</v>
      </c>
      <c r="C2795" s="3" t="s">
        <v>1289</v>
      </c>
      <c r="D2795" s="4" t="s">
        <v>1528</v>
      </c>
      <c r="F2795" s="6" t="s">
        <v>1290</v>
      </c>
      <c r="G2795" s="7" t="str">
        <f aca="false">HYPERLINK(CONCATENATE("http://crfop.gdos.gov.pl/CRFOP/widok/viewuzytekekologiczny.jsf?fop=","PL.ZIPOP.1393.UE.1014042.728"),"(kliknij lub Ctrl+kliknij)")</f>
        <v>(kliknij lub Ctrl+kliknij)</v>
      </c>
      <c r="H2795" s="0" t="s">
        <v>851</v>
      </c>
    </row>
    <row r="2796" customFormat="false" ht="12.8" hidden="false" customHeight="false" outlineLevel="0" collapsed="false">
      <c r="A2796" s="1" t="s">
        <v>1192</v>
      </c>
      <c r="C2796" s="3" t="s">
        <v>447</v>
      </c>
      <c r="D2796" s="4" t="s">
        <v>1529</v>
      </c>
      <c r="F2796" s="6" t="s">
        <v>1525</v>
      </c>
      <c r="G2796" s="7" t="str">
        <f aca="false">HYPERLINK(CONCATENATE("http://crfop.gdos.gov.pl/CRFOP/widok/viewuzytekekologiczny.jsf?fop=","PL.ZIPOP.1393.UE.1014042.729"),"(kliknij lub Ctrl+kliknij)")</f>
        <v>(kliknij lub Ctrl+kliknij)</v>
      </c>
      <c r="H2796" s="0" t="s">
        <v>851</v>
      </c>
    </row>
    <row r="2797" customFormat="false" ht="12.8" hidden="false" customHeight="false" outlineLevel="0" collapsed="false">
      <c r="A2797" s="1" t="s">
        <v>1192</v>
      </c>
      <c r="C2797" s="3" t="s">
        <v>447</v>
      </c>
      <c r="D2797" s="4" t="s">
        <v>1530</v>
      </c>
      <c r="F2797" s="6" t="s">
        <v>1525</v>
      </c>
      <c r="G2797" s="7" t="str">
        <f aca="false">HYPERLINK(CONCATENATE("http://crfop.gdos.gov.pl/CRFOP/widok/viewuzytekekologiczny.jsf?fop=","PL.ZIPOP.1393.UE.1014042.730"),"(kliknij lub Ctrl+kliknij)")</f>
        <v>(kliknij lub Ctrl+kliknij)</v>
      </c>
      <c r="H2797" s="0" t="s">
        <v>851</v>
      </c>
    </row>
    <row r="2798" customFormat="false" ht="12.8" hidden="false" customHeight="false" outlineLevel="0" collapsed="false">
      <c r="A2798" s="1" t="s">
        <v>1192</v>
      </c>
      <c r="C2798" s="3" t="s">
        <v>447</v>
      </c>
      <c r="D2798" s="4" t="s">
        <v>1255</v>
      </c>
      <c r="F2798" s="6" t="s">
        <v>1525</v>
      </c>
      <c r="G2798" s="7" t="str">
        <f aca="false">HYPERLINK(CONCATENATE("http://crfop.gdos.gov.pl/CRFOP/widok/viewuzytekekologiczny.jsf?fop=","PL.ZIPOP.1393.UE.1014042.731"),"(kliknij lub Ctrl+kliknij)")</f>
        <v>(kliknij lub Ctrl+kliknij)</v>
      </c>
      <c r="H2798" s="0" t="s">
        <v>851</v>
      </c>
    </row>
    <row r="2799" customFormat="false" ht="12.8" hidden="false" customHeight="false" outlineLevel="0" collapsed="false">
      <c r="A2799" s="1" t="s">
        <v>1192</v>
      </c>
      <c r="C2799" s="3" t="s">
        <v>447</v>
      </c>
      <c r="D2799" s="4" t="s">
        <v>1444</v>
      </c>
      <c r="F2799" s="6" t="s">
        <v>1525</v>
      </c>
      <c r="G2799" s="7" t="str">
        <f aca="false">HYPERLINK(CONCATENATE("http://crfop.gdos.gov.pl/CRFOP/widok/viewuzytekekologiczny.jsf?fop=","PL.ZIPOP.1393.UE.1014042.732"),"(kliknij lub Ctrl+kliknij)")</f>
        <v>(kliknij lub Ctrl+kliknij)</v>
      </c>
      <c r="H2799" s="0" t="s">
        <v>851</v>
      </c>
    </row>
    <row r="2800" customFormat="false" ht="12.8" hidden="false" customHeight="false" outlineLevel="0" collapsed="false">
      <c r="A2800" s="1" t="s">
        <v>1192</v>
      </c>
      <c r="C2800" s="3" t="s">
        <v>447</v>
      </c>
      <c r="D2800" s="4" t="s">
        <v>1531</v>
      </c>
      <c r="F2800" s="6" t="s">
        <v>1525</v>
      </c>
      <c r="G2800" s="7" t="str">
        <f aca="false">HYPERLINK(CONCATENATE("http://crfop.gdos.gov.pl/CRFOP/widok/viewuzytekekologiczny.jsf?fop=","PL.ZIPOP.1393.UE.1014042.733"),"(kliknij lub Ctrl+kliknij)")</f>
        <v>(kliknij lub Ctrl+kliknij)</v>
      </c>
      <c r="H2800" s="0" t="s">
        <v>851</v>
      </c>
    </row>
    <row r="2801" customFormat="false" ht="12.8" hidden="false" customHeight="false" outlineLevel="0" collapsed="false">
      <c r="A2801" s="1" t="s">
        <v>1192</v>
      </c>
      <c r="C2801" s="3" t="s">
        <v>447</v>
      </c>
      <c r="D2801" s="4" t="s">
        <v>1209</v>
      </c>
      <c r="F2801" s="6" t="s">
        <v>1525</v>
      </c>
      <c r="G2801" s="7" t="str">
        <f aca="false">HYPERLINK(CONCATENATE("http://crfop.gdos.gov.pl/CRFOP/widok/viewuzytekekologiczny.jsf?fop=","PL.ZIPOP.1393.UE.1014042.734"),"(kliknij lub Ctrl+kliknij)")</f>
        <v>(kliknij lub Ctrl+kliknij)</v>
      </c>
      <c r="H2801" s="0" t="s">
        <v>851</v>
      </c>
    </row>
    <row r="2802" customFormat="false" ht="12.8" hidden="false" customHeight="false" outlineLevel="0" collapsed="false">
      <c r="A2802" s="1" t="s">
        <v>1192</v>
      </c>
      <c r="C2802" s="3" t="s">
        <v>447</v>
      </c>
      <c r="D2802" s="4" t="s">
        <v>1468</v>
      </c>
      <c r="F2802" s="6" t="s">
        <v>1525</v>
      </c>
      <c r="G2802" s="7" t="str">
        <f aca="false">HYPERLINK(CONCATENATE("http://crfop.gdos.gov.pl/CRFOP/widok/viewuzytekekologiczny.jsf?fop=","PL.ZIPOP.1393.UE.1014042.735"),"(kliknij lub Ctrl+kliknij)")</f>
        <v>(kliknij lub Ctrl+kliknij)</v>
      </c>
      <c r="H2802" s="0" t="s">
        <v>851</v>
      </c>
    </row>
    <row r="2803" customFormat="false" ht="12.8" hidden="false" customHeight="false" outlineLevel="0" collapsed="false">
      <c r="A2803" s="1" t="s">
        <v>1192</v>
      </c>
      <c r="C2803" s="3" t="s">
        <v>447</v>
      </c>
      <c r="D2803" s="4" t="s">
        <v>1229</v>
      </c>
      <c r="F2803" s="6" t="s">
        <v>1525</v>
      </c>
      <c r="G2803" s="7" t="str">
        <f aca="false">HYPERLINK(CONCATENATE("http://crfop.gdos.gov.pl/CRFOP/widok/viewuzytekekologiczny.jsf?fop=","PL.ZIPOP.1393.UE.1014042.736"),"(kliknij lub Ctrl+kliknij)")</f>
        <v>(kliknij lub Ctrl+kliknij)</v>
      </c>
      <c r="H2803" s="0" t="s">
        <v>851</v>
      </c>
    </row>
    <row r="2804" customFormat="false" ht="12.8" hidden="false" customHeight="false" outlineLevel="0" collapsed="false">
      <c r="A2804" s="1" t="s">
        <v>1192</v>
      </c>
      <c r="C2804" s="3" t="s">
        <v>1242</v>
      </c>
      <c r="D2804" s="4" t="s">
        <v>1532</v>
      </c>
      <c r="F2804" s="6" t="s">
        <v>1244</v>
      </c>
      <c r="G2804" s="7" t="str">
        <f aca="false">HYPERLINK(CONCATENATE("http://crfop.gdos.gov.pl/CRFOP/widok/viewuzytekekologiczny.jsf?fop=","PL.ZIPOP.1393.UE.1014052.707"),"(kliknij lub Ctrl+kliknij)")</f>
        <v>(kliknij lub Ctrl+kliknij)</v>
      </c>
      <c r="H2804" s="0" t="s">
        <v>854</v>
      </c>
    </row>
    <row r="2805" customFormat="false" ht="69" hidden="false" customHeight="false" outlineLevel="0" collapsed="false">
      <c r="A2805" s="1" t="s">
        <v>1192</v>
      </c>
      <c r="C2805" s="3" t="s">
        <v>1242</v>
      </c>
      <c r="D2805" s="4" t="s">
        <v>1533</v>
      </c>
      <c r="F2805" s="10" t="s">
        <v>1244</v>
      </c>
      <c r="G2805" s="7" t="str">
        <f aca="false">HYPERLINK(CONCATENATE("http://crfop.gdos.gov.pl/CRFOP/widok/viewuzytekekologiczny.jsf?fop=","PL.ZIPOP.1393.UE.1014052.708"),"(kliknij lub Ctrl+kliknij)")</f>
        <v>(kliknij lub Ctrl+kliknij)</v>
      </c>
      <c r="H2805" s="0" t="s">
        <v>854</v>
      </c>
    </row>
    <row r="2806" customFormat="false" ht="12.8" hidden="false" customHeight="false" outlineLevel="0" collapsed="false">
      <c r="A2806" s="1" t="s">
        <v>1192</v>
      </c>
      <c r="C2806" s="3" t="s">
        <v>1242</v>
      </c>
      <c r="D2806" s="4" t="s">
        <v>571</v>
      </c>
      <c r="F2806" s="6" t="s">
        <v>1244</v>
      </c>
      <c r="G2806" s="7" t="str">
        <f aca="false">HYPERLINK(CONCATENATE("http://crfop.gdos.gov.pl/CRFOP/widok/viewuzytekekologiczny.jsf?fop=","PL.ZIPOP.1393.UE.1014052.709"),"(kliknij lub Ctrl+kliknij)")</f>
        <v>(kliknij lub Ctrl+kliknij)</v>
      </c>
      <c r="H2806" s="0" t="s">
        <v>854</v>
      </c>
    </row>
    <row r="2807" customFormat="false" ht="114.25" hidden="false" customHeight="false" outlineLevel="0" collapsed="false">
      <c r="A2807" s="1" t="s">
        <v>1192</v>
      </c>
      <c r="C2807" s="3" t="s">
        <v>447</v>
      </c>
      <c r="D2807" s="4" t="s">
        <v>1340</v>
      </c>
      <c r="F2807" s="10" t="s">
        <v>1525</v>
      </c>
      <c r="G2807" s="7" t="str">
        <f aca="false">HYPERLINK(CONCATENATE("http://crfop.gdos.gov.pl/CRFOP/widok/viewuzytekekologiczny.jsf?fop=","PL.ZIPOP.1393.UE.1014052.710"),"(kliknij lub Ctrl+kliknij)")</f>
        <v>(kliknij lub Ctrl+kliknij)</v>
      </c>
      <c r="H2807" s="0" t="s">
        <v>854</v>
      </c>
    </row>
    <row r="2808" customFormat="false" ht="12.8" hidden="false" customHeight="false" outlineLevel="0" collapsed="false">
      <c r="A2808" s="1" t="s">
        <v>1192</v>
      </c>
      <c r="C2808" s="3" t="s">
        <v>447</v>
      </c>
      <c r="D2808" s="4" t="s">
        <v>1534</v>
      </c>
      <c r="F2808" s="6" t="s">
        <v>1525</v>
      </c>
      <c r="G2808" s="7" t="str">
        <f aca="false">HYPERLINK(CONCATENATE("http://crfop.gdos.gov.pl/CRFOP/widok/viewuzytekekologiczny.jsf?fop=","PL.ZIPOP.1393.UE.1014052.711"),"(kliknij lub Ctrl+kliknij)")</f>
        <v>(kliknij lub Ctrl+kliknij)</v>
      </c>
      <c r="H2808" s="0" t="s">
        <v>854</v>
      </c>
    </row>
    <row r="2809" customFormat="false" ht="12.8" hidden="false" customHeight="false" outlineLevel="0" collapsed="false">
      <c r="A2809" s="1" t="s">
        <v>1192</v>
      </c>
      <c r="C2809" s="3" t="s">
        <v>447</v>
      </c>
      <c r="D2809" s="4" t="s">
        <v>1535</v>
      </c>
      <c r="F2809" s="6" t="s">
        <v>1525</v>
      </c>
      <c r="G2809" s="7" t="str">
        <f aca="false">HYPERLINK(CONCATENATE("http://crfop.gdos.gov.pl/CRFOP/widok/viewuzytekekologiczny.jsf?fop=","PL.ZIPOP.1393.UE.1014072.692"),"(kliknij lub Ctrl+kliknij)")</f>
        <v>(kliknij lub Ctrl+kliknij)</v>
      </c>
      <c r="H2809" s="0" t="s">
        <v>861</v>
      </c>
    </row>
    <row r="2810" customFormat="false" ht="12.8" hidden="false" customHeight="false" outlineLevel="0" collapsed="false">
      <c r="A2810" s="1" t="s">
        <v>1192</v>
      </c>
      <c r="C2810" s="3" t="s">
        <v>447</v>
      </c>
      <c r="D2810" s="4" t="s">
        <v>1213</v>
      </c>
      <c r="F2810" s="6" t="s">
        <v>1525</v>
      </c>
      <c r="G2810" s="7" t="str">
        <f aca="false">HYPERLINK(CONCATENATE("http://crfop.gdos.gov.pl/CRFOP/widok/viewuzytekekologiczny.jsf?fop=","PL.ZIPOP.1393.UE.1014072.693"),"(kliknij lub Ctrl+kliknij)")</f>
        <v>(kliknij lub Ctrl+kliknij)</v>
      </c>
      <c r="H2810" s="0" t="s">
        <v>861</v>
      </c>
    </row>
    <row r="2811" customFormat="false" ht="12.8" hidden="false" customHeight="false" outlineLevel="0" collapsed="false">
      <c r="A2811" s="1" t="s">
        <v>1192</v>
      </c>
      <c r="C2811" s="3" t="s">
        <v>447</v>
      </c>
      <c r="D2811" s="4" t="s">
        <v>1364</v>
      </c>
      <c r="F2811" s="6" t="s">
        <v>1525</v>
      </c>
      <c r="G2811" s="7" t="str">
        <f aca="false">HYPERLINK(CONCATENATE("http://crfop.gdos.gov.pl/CRFOP/widok/viewuzytekekologiczny.jsf?fop=","PL.ZIPOP.1393.UE.1014072.694"),"(kliknij lub Ctrl+kliknij)")</f>
        <v>(kliknij lub Ctrl+kliknij)</v>
      </c>
      <c r="H2811" s="0" t="s">
        <v>861</v>
      </c>
    </row>
    <row r="2812" customFormat="false" ht="12.8" hidden="false" customHeight="false" outlineLevel="0" collapsed="false">
      <c r="A2812" s="1" t="s">
        <v>1192</v>
      </c>
      <c r="C2812" s="3" t="s">
        <v>447</v>
      </c>
      <c r="D2812" s="4" t="s">
        <v>1421</v>
      </c>
      <c r="F2812" s="6" t="s">
        <v>1525</v>
      </c>
      <c r="G2812" s="7" t="str">
        <f aca="false">HYPERLINK(CONCATENATE("http://crfop.gdos.gov.pl/CRFOP/widok/viewuzytekekologiczny.jsf?fop=","PL.ZIPOP.1393.UE.1014072.695"),"(kliknij lub Ctrl+kliknij)")</f>
        <v>(kliknij lub Ctrl+kliknij)</v>
      </c>
      <c r="H2812" s="0" t="s">
        <v>861</v>
      </c>
    </row>
    <row r="2813" customFormat="false" ht="12.8" hidden="false" customHeight="false" outlineLevel="0" collapsed="false">
      <c r="A2813" s="1" t="s">
        <v>1192</v>
      </c>
      <c r="C2813" s="3" t="s">
        <v>447</v>
      </c>
      <c r="D2813" s="4" t="s">
        <v>1229</v>
      </c>
      <c r="F2813" s="6" t="s">
        <v>1525</v>
      </c>
      <c r="G2813" s="7" t="str">
        <f aca="false">HYPERLINK(CONCATENATE("http://crfop.gdos.gov.pl/CRFOP/widok/viewuzytekekologiczny.jsf?fop=","PL.ZIPOP.1393.UE.1014072.696"),"(kliknij lub Ctrl+kliknij)")</f>
        <v>(kliknij lub Ctrl+kliknij)</v>
      </c>
      <c r="H2813" s="0" t="s">
        <v>861</v>
      </c>
    </row>
    <row r="2814" customFormat="false" ht="12.8" hidden="false" customHeight="false" outlineLevel="0" collapsed="false">
      <c r="A2814" s="1" t="s">
        <v>1192</v>
      </c>
      <c r="C2814" s="3" t="s">
        <v>447</v>
      </c>
      <c r="D2814" s="4" t="s">
        <v>1536</v>
      </c>
      <c r="F2814" s="6" t="s">
        <v>1525</v>
      </c>
      <c r="G2814" s="7" t="str">
        <f aca="false">HYPERLINK(CONCATENATE("http://crfop.gdos.gov.pl/CRFOP/widok/viewuzytekekologiczny.jsf?fop=","PL.ZIPOP.1393.UE.1014072.697"),"(kliknij lub Ctrl+kliknij)")</f>
        <v>(kliknij lub Ctrl+kliknij)</v>
      </c>
      <c r="H2814" s="0" t="s">
        <v>861</v>
      </c>
    </row>
    <row r="2815" customFormat="false" ht="12.8" hidden="false" customHeight="false" outlineLevel="0" collapsed="false">
      <c r="A2815" s="1" t="s">
        <v>1192</v>
      </c>
      <c r="C2815" s="3" t="s">
        <v>447</v>
      </c>
      <c r="D2815" s="4" t="s">
        <v>1293</v>
      </c>
      <c r="F2815" s="6" t="s">
        <v>1525</v>
      </c>
      <c r="G2815" s="7" t="str">
        <f aca="false">HYPERLINK(CONCATENATE("http://crfop.gdos.gov.pl/CRFOP/widok/viewuzytekekologiczny.jsf?fop=","PL.ZIPOP.1393.UE.1014072.698"),"(kliknij lub Ctrl+kliknij)")</f>
        <v>(kliknij lub Ctrl+kliknij)</v>
      </c>
      <c r="H2815" s="0" t="s">
        <v>861</v>
      </c>
    </row>
    <row r="2816" customFormat="false" ht="12.8" hidden="false" customHeight="false" outlineLevel="0" collapsed="false">
      <c r="A2816" s="1" t="s">
        <v>1192</v>
      </c>
      <c r="C2816" s="3" t="s">
        <v>447</v>
      </c>
      <c r="D2816" s="4" t="s">
        <v>1212</v>
      </c>
      <c r="F2816" s="6" t="s">
        <v>1525</v>
      </c>
      <c r="G2816" s="7" t="str">
        <f aca="false">HYPERLINK(CONCATENATE("http://crfop.gdos.gov.pl/CRFOP/widok/viewuzytekekologiczny.jsf?fop=","PL.ZIPOP.1393.UE.1014072.699"),"(kliknij lub Ctrl+kliknij)")</f>
        <v>(kliknij lub Ctrl+kliknij)</v>
      </c>
      <c r="H2816" s="0" t="s">
        <v>861</v>
      </c>
    </row>
    <row r="2817" customFormat="false" ht="12.8" hidden="false" customHeight="false" outlineLevel="0" collapsed="false">
      <c r="A2817" s="1" t="s">
        <v>1192</v>
      </c>
      <c r="C2817" s="3" t="s">
        <v>447</v>
      </c>
      <c r="D2817" s="4" t="s">
        <v>1253</v>
      </c>
      <c r="F2817" s="6" t="s">
        <v>1525</v>
      </c>
      <c r="G2817" s="7" t="str">
        <f aca="false">HYPERLINK(CONCATENATE("http://crfop.gdos.gov.pl/CRFOP/widok/viewuzytekekologiczny.jsf?fop=","PL.ZIPOP.1393.UE.1014072.700"),"(kliknij lub Ctrl+kliknij)")</f>
        <v>(kliknij lub Ctrl+kliknij)</v>
      </c>
      <c r="H2817" s="0" t="s">
        <v>861</v>
      </c>
    </row>
    <row r="2818" customFormat="false" ht="12.8" hidden="false" customHeight="false" outlineLevel="0" collapsed="false">
      <c r="A2818" s="1" t="s">
        <v>1192</v>
      </c>
      <c r="C2818" s="3" t="s">
        <v>447</v>
      </c>
      <c r="D2818" s="4" t="s">
        <v>1424</v>
      </c>
      <c r="F2818" s="6" t="s">
        <v>1525</v>
      </c>
      <c r="G2818" s="7" t="str">
        <f aca="false">HYPERLINK(CONCATENATE("http://crfop.gdos.gov.pl/CRFOP/widok/viewuzytekekologiczny.jsf?fop=","PL.ZIPOP.1393.UE.1014072.701"),"(kliknij lub Ctrl+kliknij)")</f>
        <v>(kliknij lub Ctrl+kliknij)</v>
      </c>
      <c r="H2818" s="0" t="s">
        <v>861</v>
      </c>
    </row>
    <row r="2819" customFormat="false" ht="12.8" hidden="false" customHeight="false" outlineLevel="0" collapsed="false">
      <c r="A2819" s="1" t="s">
        <v>1192</v>
      </c>
      <c r="C2819" s="3" t="s">
        <v>447</v>
      </c>
      <c r="D2819" s="4" t="s">
        <v>1441</v>
      </c>
      <c r="F2819" s="6" t="s">
        <v>1525</v>
      </c>
      <c r="G2819" s="7" t="str">
        <f aca="false">HYPERLINK(CONCATENATE("http://crfop.gdos.gov.pl/CRFOP/widok/viewuzytekekologiczny.jsf?fop=","PL.ZIPOP.1393.UE.1014072.702"),"(kliknij lub Ctrl+kliknij)")</f>
        <v>(kliknij lub Ctrl+kliknij)</v>
      </c>
      <c r="H2819" s="0" t="s">
        <v>861</v>
      </c>
    </row>
    <row r="2820" customFormat="false" ht="12.8" hidden="false" customHeight="false" outlineLevel="0" collapsed="false">
      <c r="A2820" s="1" t="s">
        <v>1192</v>
      </c>
      <c r="C2820" s="3" t="s">
        <v>1242</v>
      </c>
      <c r="D2820" s="4" t="s">
        <v>1537</v>
      </c>
      <c r="F2820" s="6" t="s">
        <v>1244</v>
      </c>
      <c r="G2820" s="7" t="str">
        <f aca="false">HYPERLINK(CONCATENATE("http://crfop.gdos.gov.pl/CRFOP/widok/viewuzytekekologiczny.jsf?fop=","PL.ZIPOP.1393.UE.1014082.689"),"(kliknij lub Ctrl+kliknij)")</f>
        <v>(kliknij lub Ctrl+kliknij)</v>
      </c>
      <c r="H2820" s="0" t="s">
        <v>847</v>
      </c>
    </row>
    <row r="2821" customFormat="false" ht="12.8" hidden="false" customHeight="false" outlineLevel="0" collapsed="false">
      <c r="A2821" s="1" t="s">
        <v>1192</v>
      </c>
      <c r="C2821" s="3" t="s">
        <v>447</v>
      </c>
      <c r="D2821" s="4" t="s">
        <v>1354</v>
      </c>
      <c r="F2821" s="6" t="s">
        <v>1525</v>
      </c>
      <c r="G2821" s="7" t="str">
        <f aca="false">HYPERLINK(CONCATENATE("http://crfop.gdos.gov.pl/CRFOP/widok/viewuzytekekologiczny.jsf?fop=","PL.ZIPOP.1393.UE.1014082.690"),"(kliknij lub Ctrl+kliknij)")</f>
        <v>(kliknij lub Ctrl+kliknij)</v>
      </c>
      <c r="H2821" s="0" t="s">
        <v>847</v>
      </c>
    </row>
    <row r="2822" customFormat="false" ht="12.8" hidden="false" customHeight="false" outlineLevel="0" collapsed="false">
      <c r="A2822" s="1" t="s">
        <v>1192</v>
      </c>
      <c r="C2822" s="3" t="s">
        <v>447</v>
      </c>
      <c r="D2822" s="4" t="s">
        <v>1337</v>
      </c>
      <c r="F2822" s="6" t="s">
        <v>1525</v>
      </c>
      <c r="G2822" s="7" t="str">
        <f aca="false">HYPERLINK(CONCATENATE("http://crfop.gdos.gov.pl/CRFOP/widok/viewuzytekekologiczny.jsf?fop=","PL.ZIPOP.1393.UE.1014082.691"),"(kliknij lub Ctrl+kliknij)")</f>
        <v>(kliknij lub Ctrl+kliknij)</v>
      </c>
      <c r="H2822" s="0" t="s">
        <v>847</v>
      </c>
    </row>
    <row r="2823" customFormat="false" ht="12.8" hidden="false" customHeight="false" outlineLevel="0" collapsed="false">
      <c r="A2823" s="1" t="s">
        <v>1192</v>
      </c>
      <c r="B2823" s="2" t="s">
        <v>1538</v>
      </c>
      <c r="C2823" s="3" t="s">
        <v>643</v>
      </c>
      <c r="D2823" s="4" t="s">
        <v>1276</v>
      </c>
      <c r="F2823" s="6" t="s">
        <v>1539</v>
      </c>
      <c r="G2823" s="7" t="str">
        <f aca="false">HYPERLINK(CONCATENATE("http://crfop.gdos.gov.pl/CRFOP/widok/viewuzytekekologiczny.jsf?fop=","PL.ZIPOP.1393.UE.1014093.722"),"(kliknij lub Ctrl+kliknij)")</f>
        <v>(kliknij lub Ctrl+kliknij)</v>
      </c>
      <c r="H2823" s="0" t="s">
        <v>866</v>
      </c>
    </row>
    <row r="2824" customFormat="false" ht="12.8" hidden="false" customHeight="false" outlineLevel="0" collapsed="false">
      <c r="A2824" s="1" t="s">
        <v>1192</v>
      </c>
      <c r="C2824" s="3" t="s">
        <v>1540</v>
      </c>
      <c r="D2824" s="4" t="s">
        <v>571</v>
      </c>
      <c r="F2824" s="6" t="s">
        <v>1541</v>
      </c>
      <c r="G2824" s="7" t="str">
        <f aca="false">HYPERLINK(CONCATENATE("http://crfop.gdos.gov.pl/CRFOP/widok/viewuzytekekologiczny.jsf?fop=","PL.ZIPOP.1393.UE.1014093.723"),"(kliknij lub Ctrl+kliknij)")</f>
        <v>(kliknij lub Ctrl+kliknij)</v>
      </c>
      <c r="H2824" s="0" t="s">
        <v>866</v>
      </c>
    </row>
    <row r="2825" customFormat="false" ht="12.8" hidden="false" customHeight="false" outlineLevel="0" collapsed="false">
      <c r="A2825" s="1" t="s">
        <v>1192</v>
      </c>
      <c r="C2825" s="3" t="s">
        <v>467</v>
      </c>
      <c r="D2825" s="4" t="s">
        <v>1542</v>
      </c>
      <c r="F2825" s="6" t="s">
        <v>1374</v>
      </c>
      <c r="G2825" s="7" t="str">
        <f aca="false">HYPERLINK(CONCATENATE("http://crfop.gdos.gov.pl/CRFOP/widok/viewuzytekekologiczny.jsf?fop=","PL.ZIPOP.1393.UE.1014093.724"),"(kliknij lub Ctrl+kliknij)")</f>
        <v>(kliknij lub Ctrl+kliknij)</v>
      </c>
      <c r="H2825" s="0" t="s">
        <v>866</v>
      </c>
    </row>
    <row r="2826" customFormat="false" ht="12.8" hidden="false" customHeight="false" outlineLevel="0" collapsed="false">
      <c r="A2826" s="1" t="s">
        <v>1192</v>
      </c>
      <c r="C2826" s="3" t="s">
        <v>467</v>
      </c>
      <c r="D2826" s="4" t="s">
        <v>1336</v>
      </c>
      <c r="F2826" s="6" t="s">
        <v>1374</v>
      </c>
      <c r="G2826" s="7" t="str">
        <f aca="false">HYPERLINK(CONCATENATE("http://crfop.gdos.gov.pl/CRFOP/widok/viewuzytekekologiczny.jsf?fop=","PL.ZIPOP.1393.UE.1014093.725"),"(kliknij lub Ctrl+kliknij)")</f>
        <v>(kliknij lub Ctrl+kliknij)</v>
      </c>
      <c r="H2826" s="0" t="s">
        <v>866</v>
      </c>
    </row>
    <row r="2827" customFormat="false" ht="12.8" hidden="false" customHeight="false" outlineLevel="0" collapsed="false">
      <c r="A2827" s="1" t="s">
        <v>1192</v>
      </c>
      <c r="C2827" s="3" t="s">
        <v>447</v>
      </c>
      <c r="D2827" s="4" t="s">
        <v>1223</v>
      </c>
      <c r="F2827" s="6" t="s">
        <v>1525</v>
      </c>
      <c r="G2827" s="7" t="str">
        <f aca="false">HYPERLINK(CONCATENATE("http://crfop.gdos.gov.pl/CRFOP/widok/viewuzytekekologiczny.jsf?fop=","PL.ZIPOP.1393.UE.1014113.712"),"(kliknij lub Ctrl+kliknij)")</f>
        <v>(kliknij lub Ctrl+kliknij)</v>
      </c>
      <c r="H2827" s="0" t="s">
        <v>868</v>
      </c>
    </row>
    <row r="2828" customFormat="false" ht="12.8" hidden="false" customHeight="false" outlineLevel="0" collapsed="false">
      <c r="A2828" s="1" t="s">
        <v>1192</v>
      </c>
      <c r="C2828" s="3" t="s">
        <v>447</v>
      </c>
      <c r="D2828" s="4" t="s">
        <v>1239</v>
      </c>
      <c r="F2828" s="6" t="s">
        <v>1525</v>
      </c>
      <c r="G2828" s="7" t="str">
        <f aca="false">HYPERLINK(CONCATENATE("http://crfop.gdos.gov.pl/CRFOP/widok/viewuzytekekologiczny.jsf?fop=","PL.ZIPOP.1393.UE.1014113.713"),"(kliknij lub Ctrl+kliknij)")</f>
        <v>(kliknij lub Ctrl+kliknij)</v>
      </c>
      <c r="H2828" s="0" t="s">
        <v>868</v>
      </c>
    </row>
    <row r="2829" customFormat="false" ht="12.8" hidden="false" customHeight="false" outlineLevel="0" collapsed="false">
      <c r="A2829" s="1" t="s">
        <v>1192</v>
      </c>
      <c r="C2829" s="3" t="s">
        <v>447</v>
      </c>
      <c r="D2829" s="4" t="s">
        <v>1403</v>
      </c>
      <c r="F2829" s="6" t="s">
        <v>1525</v>
      </c>
      <c r="G2829" s="7" t="str">
        <f aca="false">HYPERLINK(CONCATENATE("http://crfop.gdos.gov.pl/CRFOP/widok/viewuzytekekologiczny.jsf?fop=","PL.ZIPOP.1393.UE.1014113.714"),"(kliknij lub Ctrl+kliknij)")</f>
        <v>(kliknij lub Ctrl+kliknij)</v>
      </c>
      <c r="H2829" s="0" t="s">
        <v>868</v>
      </c>
    </row>
    <row r="2830" customFormat="false" ht="114.25" hidden="false" customHeight="false" outlineLevel="0" collapsed="false">
      <c r="A2830" s="1" t="s">
        <v>1192</v>
      </c>
      <c r="C2830" s="3" t="s">
        <v>447</v>
      </c>
      <c r="D2830" s="4" t="s">
        <v>1543</v>
      </c>
      <c r="F2830" s="10" t="s">
        <v>1525</v>
      </c>
      <c r="G2830" s="7" t="str">
        <f aca="false">HYPERLINK(CONCATENATE("http://crfop.gdos.gov.pl/CRFOP/widok/viewuzytekekologiczny.jsf?fop=","PL.ZIPOP.1393.UE.1014113.715"),"(kliknij lub Ctrl+kliknij)")</f>
        <v>(kliknij lub Ctrl+kliknij)</v>
      </c>
      <c r="H2830" s="0" t="s">
        <v>868</v>
      </c>
    </row>
    <row r="2831" customFormat="false" ht="12.8" hidden="false" customHeight="false" outlineLevel="0" collapsed="false">
      <c r="A2831" s="1" t="s">
        <v>1192</v>
      </c>
      <c r="C2831" s="3" t="s">
        <v>447</v>
      </c>
      <c r="D2831" s="4" t="s">
        <v>1389</v>
      </c>
      <c r="F2831" s="6" t="s">
        <v>1525</v>
      </c>
      <c r="G2831" s="7" t="str">
        <f aca="false">HYPERLINK(CONCATENATE("http://crfop.gdos.gov.pl/CRFOP/widok/viewuzytekekologiczny.jsf?fop=","PL.ZIPOP.1393.UE.1014113.716"),"(kliknij lub Ctrl+kliknij)")</f>
        <v>(kliknij lub Ctrl+kliknij)</v>
      </c>
      <c r="H2831" s="0" t="s">
        <v>868</v>
      </c>
    </row>
    <row r="2832" customFormat="false" ht="12.8" hidden="false" customHeight="false" outlineLevel="0" collapsed="false">
      <c r="A2832" s="1" t="s">
        <v>1192</v>
      </c>
      <c r="C2832" s="3" t="s">
        <v>447</v>
      </c>
      <c r="D2832" s="4" t="s">
        <v>1207</v>
      </c>
      <c r="F2832" s="6" t="s">
        <v>1525</v>
      </c>
      <c r="G2832" s="7" t="str">
        <f aca="false">HYPERLINK(CONCATENATE("http://crfop.gdos.gov.pl/CRFOP/widok/viewuzytekekologiczny.jsf?fop=","PL.ZIPOP.1393.UE.1014113.717"),"(kliknij lub Ctrl+kliknij)")</f>
        <v>(kliknij lub Ctrl+kliknij)</v>
      </c>
      <c r="H2832" s="0" t="s">
        <v>868</v>
      </c>
    </row>
    <row r="2833" customFormat="false" ht="12.8" hidden="false" customHeight="false" outlineLevel="0" collapsed="false">
      <c r="A2833" s="1" t="s">
        <v>1192</v>
      </c>
      <c r="C2833" s="3" t="s">
        <v>447</v>
      </c>
      <c r="D2833" s="4" t="s">
        <v>1356</v>
      </c>
      <c r="F2833" s="6" t="s">
        <v>1525</v>
      </c>
      <c r="G2833" s="7" t="str">
        <f aca="false">HYPERLINK(CONCATENATE("http://crfop.gdos.gov.pl/CRFOP/widok/viewuzytekekologiczny.jsf?fop=","PL.ZIPOP.1393.UE.1014113.718"),"(kliknij lub Ctrl+kliknij)")</f>
        <v>(kliknij lub Ctrl+kliknij)</v>
      </c>
      <c r="H2833" s="0" t="s">
        <v>868</v>
      </c>
    </row>
    <row r="2834" customFormat="false" ht="12.8" hidden="false" customHeight="false" outlineLevel="0" collapsed="false">
      <c r="A2834" s="1" t="s">
        <v>1192</v>
      </c>
      <c r="C2834" s="3" t="s">
        <v>447</v>
      </c>
      <c r="D2834" s="4" t="s">
        <v>1408</v>
      </c>
      <c r="F2834" s="6" t="s">
        <v>1525</v>
      </c>
      <c r="G2834" s="7" t="str">
        <f aca="false">HYPERLINK(CONCATENATE("http://crfop.gdos.gov.pl/CRFOP/widok/viewuzytekekologiczny.jsf?fop=","PL.ZIPOP.1393.UE.1014113.719"),"(kliknij lub Ctrl+kliknij)")</f>
        <v>(kliknij lub Ctrl+kliknij)</v>
      </c>
      <c r="H2834" s="0" t="s">
        <v>868</v>
      </c>
    </row>
    <row r="2835" customFormat="false" ht="12.8" hidden="false" customHeight="false" outlineLevel="0" collapsed="false">
      <c r="A2835" s="1" t="s">
        <v>1192</v>
      </c>
      <c r="C2835" s="3" t="s">
        <v>1379</v>
      </c>
      <c r="D2835" s="4" t="s">
        <v>1246</v>
      </c>
      <c r="F2835" s="6" t="s">
        <v>1380</v>
      </c>
      <c r="G2835" s="7" t="str">
        <f aca="false">HYPERLINK(CONCATENATE("http://crfop.gdos.gov.pl/CRFOP/widok/viewuzytekekologiczny.jsf?fop=","PL.ZIPOP.1393.UE.1014113.720"),"(kliknij lub Ctrl+kliknij)")</f>
        <v>(kliknij lub Ctrl+kliknij)</v>
      </c>
      <c r="H2835" s="0" t="s">
        <v>868</v>
      </c>
    </row>
    <row r="2836" customFormat="false" ht="12.8" hidden="false" customHeight="false" outlineLevel="0" collapsed="false">
      <c r="A2836" s="1" t="s">
        <v>1192</v>
      </c>
      <c r="C2836" s="3" t="s">
        <v>1379</v>
      </c>
      <c r="D2836" s="4" t="s">
        <v>1474</v>
      </c>
      <c r="F2836" s="6" t="s">
        <v>1380</v>
      </c>
      <c r="G2836" s="7" t="str">
        <f aca="false">HYPERLINK(CONCATENATE("http://crfop.gdos.gov.pl/CRFOP/widok/viewuzytekekologiczny.jsf?fop=","PL.ZIPOP.1393.UE.1014113.721"),"(kliknij lub Ctrl+kliknij)")</f>
        <v>(kliknij lub Ctrl+kliknij)</v>
      </c>
      <c r="H2836" s="0" t="s">
        <v>868</v>
      </c>
    </row>
    <row r="2837" customFormat="false" ht="12.8" hidden="false" customHeight="false" outlineLevel="0" collapsed="false">
      <c r="A2837" s="1" t="s">
        <v>1192</v>
      </c>
      <c r="C2837" s="3" t="s">
        <v>1299</v>
      </c>
      <c r="D2837" s="4" t="s">
        <v>1544</v>
      </c>
      <c r="F2837" s="6" t="s">
        <v>1303</v>
      </c>
      <c r="G2837" s="7" t="str">
        <f aca="false">HYPERLINK(CONCATENATE("http://crfop.gdos.gov.pl/CRFOP/widok/viewuzytekekologiczny.jsf?fop=","PL.ZIPOP.1393.UE.1015012.100"),"(kliknij lub Ctrl+kliknij)")</f>
        <v>(kliknij lub Ctrl+kliknij)</v>
      </c>
      <c r="H2837" s="0" t="s">
        <v>869</v>
      </c>
    </row>
    <row r="2838" customFormat="false" ht="91.65" hidden="false" customHeight="false" outlineLevel="0" collapsed="false">
      <c r="A2838" s="1" t="s">
        <v>1192</v>
      </c>
      <c r="C2838" s="3" t="s">
        <v>1299</v>
      </c>
      <c r="D2838" s="4" t="s">
        <v>1421</v>
      </c>
      <c r="F2838" s="10" t="s">
        <v>1545</v>
      </c>
      <c r="G2838" s="7" t="str">
        <f aca="false">HYPERLINK(CONCATENATE("http://crfop.gdos.gov.pl/CRFOP/widok/viewuzytekekologiczny.jsf?fop=","PL.ZIPOP.1393.UE.1015012.101"),"(kliknij lub Ctrl+kliknij)")</f>
        <v>(kliknij lub Ctrl+kliknij)</v>
      </c>
      <c r="H2838" s="0" t="s">
        <v>869</v>
      </c>
    </row>
    <row r="2839" customFormat="false" ht="69" hidden="false" customHeight="false" outlineLevel="0" collapsed="false">
      <c r="A2839" s="1" t="s">
        <v>1192</v>
      </c>
      <c r="C2839" s="3" t="s">
        <v>1100</v>
      </c>
      <c r="D2839" s="4" t="s">
        <v>1546</v>
      </c>
      <c r="F2839" s="10" t="s">
        <v>1305</v>
      </c>
      <c r="G2839" s="7" t="str">
        <f aca="false">HYPERLINK(CONCATENATE("http://crfop.gdos.gov.pl/CRFOP/widok/viewuzytekekologiczny.jsf?fop=","PL.ZIPOP.1393.UE.1015012.102"),"(kliknij lub Ctrl+kliknij)")</f>
        <v>(kliknij lub Ctrl+kliknij)</v>
      </c>
      <c r="H2839" s="0" t="s">
        <v>869</v>
      </c>
    </row>
    <row r="2840" customFormat="false" ht="12.8" hidden="false" customHeight="false" outlineLevel="0" collapsed="false">
      <c r="A2840" s="1" t="s">
        <v>1192</v>
      </c>
      <c r="C2840" s="3" t="s">
        <v>1100</v>
      </c>
      <c r="D2840" s="4" t="s">
        <v>1444</v>
      </c>
      <c r="F2840" s="6" t="s">
        <v>1547</v>
      </c>
      <c r="G2840" s="7" t="str">
        <f aca="false">HYPERLINK(CONCATENATE("http://crfop.gdos.gov.pl/CRFOP/widok/viewuzytekekologiczny.jsf?fop=","PL.ZIPOP.1393.UE.1015012.103"),"(kliknij lub Ctrl+kliknij)")</f>
        <v>(kliknij lub Ctrl+kliknij)</v>
      </c>
      <c r="H2840" s="0" t="s">
        <v>869</v>
      </c>
    </row>
    <row r="2841" customFormat="false" ht="12.8" hidden="false" customHeight="false" outlineLevel="0" collapsed="false">
      <c r="A2841" s="1" t="s">
        <v>1192</v>
      </c>
      <c r="C2841" s="3" t="s">
        <v>1100</v>
      </c>
      <c r="D2841" s="4" t="s">
        <v>1214</v>
      </c>
      <c r="F2841" s="6" t="s">
        <v>1547</v>
      </c>
      <c r="G2841" s="7" t="str">
        <f aca="false">HYPERLINK(CONCATENATE("http://crfop.gdos.gov.pl/CRFOP/widok/viewuzytekekologiczny.jsf?fop=","PL.ZIPOP.1393.UE.1015012.104"),"(kliknij lub Ctrl+kliknij)")</f>
        <v>(kliknij lub Ctrl+kliknij)</v>
      </c>
      <c r="H2841" s="0" t="s">
        <v>869</v>
      </c>
    </row>
    <row r="2842" customFormat="false" ht="12.8" hidden="false" customHeight="false" outlineLevel="0" collapsed="false">
      <c r="A2842" s="1" t="s">
        <v>1192</v>
      </c>
      <c r="C2842" s="3" t="s">
        <v>1100</v>
      </c>
      <c r="D2842" s="4" t="s">
        <v>1201</v>
      </c>
      <c r="F2842" s="6" t="s">
        <v>1547</v>
      </c>
      <c r="G2842" s="7" t="str">
        <f aca="false">HYPERLINK(CONCATENATE("http://crfop.gdos.gov.pl/CRFOP/widok/viewuzytekekologiczny.jsf?fop=","PL.ZIPOP.1393.UE.1015012.105"),"(kliknij lub Ctrl+kliknij)")</f>
        <v>(kliknij lub Ctrl+kliknij)</v>
      </c>
      <c r="H2842" s="0" t="s">
        <v>869</v>
      </c>
    </row>
    <row r="2843" customFormat="false" ht="12.8" hidden="false" customHeight="false" outlineLevel="0" collapsed="false">
      <c r="A2843" s="1" t="s">
        <v>1192</v>
      </c>
      <c r="C2843" s="3" t="s">
        <v>1100</v>
      </c>
      <c r="D2843" s="4" t="s">
        <v>1208</v>
      </c>
      <c r="F2843" s="6" t="s">
        <v>1547</v>
      </c>
      <c r="G2843" s="7" t="str">
        <f aca="false">HYPERLINK(CONCATENATE("http://crfop.gdos.gov.pl/CRFOP/widok/viewuzytekekologiczny.jsf?fop=","PL.ZIPOP.1393.UE.1015012.106"),"(kliknij lub Ctrl+kliknij)")</f>
        <v>(kliknij lub Ctrl+kliknij)</v>
      </c>
      <c r="H2843" s="0" t="s">
        <v>869</v>
      </c>
    </row>
    <row r="2844" customFormat="false" ht="12.8" hidden="false" customHeight="false" outlineLevel="0" collapsed="false">
      <c r="A2844" s="1" t="s">
        <v>1192</v>
      </c>
      <c r="C2844" s="3" t="s">
        <v>1100</v>
      </c>
      <c r="D2844" s="4" t="s">
        <v>1471</v>
      </c>
      <c r="F2844" s="6" t="s">
        <v>1547</v>
      </c>
      <c r="G2844" s="7" t="str">
        <f aca="false">HYPERLINK(CONCATENATE("http://crfop.gdos.gov.pl/CRFOP/widok/viewuzytekekologiczny.jsf?fop=","PL.ZIPOP.1393.UE.1015012.107"),"(kliknij lub Ctrl+kliknij)")</f>
        <v>(kliknij lub Ctrl+kliknij)</v>
      </c>
      <c r="H2844" s="0" t="s">
        <v>869</v>
      </c>
    </row>
    <row r="2845" customFormat="false" ht="12.8" hidden="false" customHeight="false" outlineLevel="0" collapsed="false">
      <c r="A2845" s="1" t="s">
        <v>1192</v>
      </c>
      <c r="C2845" s="3" t="s">
        <v>1100</v>
      </c>
      <c r="D2845" s="4" t="s">
        <v>1340</v>
      </c>
      <c r="F2845" s="6" t="s">
        <v>1547</v>
      </c>
      <c r="G2845" s="7" t="str">
        <f aca="false">HYPERLINK(CONCATENATE("http://crfop.gdos.gov.pl/CRFOP/widok/viewuzytekekologiczny.jsf?fop=","PL.ZIPOP.1393.UE.1015012.108"),"(kliknij lub Ctrl+kliknij)")</f>
        <v>(kliknij lub Ctrl+kliknij)</v>
      </c>
      <c r="H2845" s="0" t="s">
        <v>869</v>
      </c>
    </row>
    <row r="2846" customFormat="false" ht="12.8" hidden="false" customHeight="false" outlineLevel="0" collapsed="false">
      <c r="A2846" s="1" t="s">
        <v>1192</v>
      </c>
      <c r="C2846" s="3" t="s">
        <v>1100</v>
      </c>
      <c r="D2846" s="4" t="s">
        <v>1392</v>
      </c>
      <c r="F2846" s="6" t="s">
        <v>1547</v>
      </c>
      <c r="G2846" s="7" t="str">
        <f aca="false">HYPERLINK(CONCATENATE("http://crfop.gdos.gov.pl/CRFOP/widok/viewuzytekekologiczny.jsf?fop=","PL.ZIPOP.1393.UE.1015012.109"),"(kliknij lub Ctrl+kliknij)")</f>
        <v>(kliknij lub Ctrl+kliknij)</v>
      </c>
      <c r="H2846" s="0" t="s">
        <v>869</v>
      </c>
    </row>
    <row r="2847" customFormat="false" ht="12.8" hidden="false" customHeight="false" outlineLevel="0" collapsed="false">
      <c r="A2847" s="1" t="s">
        <v>1192</v>
      </c>
      <c r="C2847" s="3" t="s">
        <v>1100</v>
      </c>
      <c r="D2847" s="4" t="s">
        <v>1548</v>
      </c>
      <c r="F2847" s="6" t="s">
        <v>1547</v>
      </c>
      <c r="G2847" s="7" t="str">
        <f aca="false">HYPERLINK(CONCATENATE("http://crfop.gdos.gov.pl/CRFOP/widok/viewuzytekekologiczny.jsf?fop=","PL.ZIPOP.1393.UE.1015012.110"),"(kliknij lub Ctrl+kliknij)")</f>
        <v>(kliknij lub Ctrl+kliknij)</v>
      </c>
      <c r="H2847" s="0" t="s">
        <v>869</v>
      </c>
    </row>
    <row r="2848" customFormat="false" ht="12.8" hidden="false" customHeight="false" outlineLevel="0" collapsed="false">
      <c r="A2848" s="1" t="s">
        <v>1192</v>
      </c>
      <c r="C2848" s="3" t="s">
        <v>1100</v>
      </c>
      <c r="D2848" s="4" t="s">
        <v>1196</v>
      </c>
      <c r="F2848" s="6" t="s">
        <v>1547</v>
      </c>
      <c r="G2848" s="7" t="str">
        <f aca="false">HYPERLINK(CONCATENATE("http://crfop.gdos.gov.pl/CRFOP/widok/viewuzytekekologiczny.jsf?fop=","PL.ZIPOP.1393.UE.1015012.111"),"(kliknij lub Ctrl+kliknij)")</f>
        <v>(kliknij lub Ctrl+kliknij)</v>
      </c>
      <c r="H2848" s="0" t="s">
        <v>869</v>
      </c>
    </row>
    <row r="2849" customFormat="false" ht="12.8" hidden="false" customHeight="false" outlineLevel="0" collapsed="false">
      <c r="A2849" s="1" t="s">
        <v>1192</v>
      </c>
      <c r="C2849" s="3" t="s">
        <v>1100</v>
      </c>
      <c r="D2849" s="4" t="s">
        <v>1240</v>
      </c>
      <c r="F2849" s="6" t="s">
        <v>1547</v>
      </c>
      <c r="G2849" s="7" t="str">
        <f aca="false">HYPERLINK(CONCATENATE("http://crfop.gdos.gov.pl/CRFOP/widok/viewuzytekekologiczny.jsf?fop=","PL.ZIPOP.1393.UE.1015012.112"),"(kliknij lub Ctrl+kliknij)")</f>
        <v>(kliknij lub Ctrl+kliknij)</v>
      </c>
      <c r="H2849" s="0" t="s">
        <v>869</v>
      </c>
    </row>
    <row r="2850" customFormat="false" ht="12.8" hidden="false" customHeight="false" outlineLevel="0" collapsed="false">
      <c r="A2850" s="1" t="s">
        <v>1192</v>
      </c>
      <c r="C2850" s="3" t="s">
        <v>1100</v>
      </c>
      <c r="D2850" s="4" t="s">
        <v>1549</v>
      </c>
      <c r="F2850" s="6" t="s">
        <v>1547</v>
      </c>
      <c r="G2850" s="7" t="str">
        <f aca="false">HYPERLINK(CONCATENATE("http://crfop.gdos.gov.pl/CRFOP/widok/viewuzytekekologiczny.jsf?fop=","PL.ZIPOP.1393.UE.1015012.113"),"(kliknij lub Ctrl+kliknij)")</f>
        <v>(kliknij lub Ctrl+kliknij)</v>
      </c>
      <c r="H2850" s="0" t="s">
        <v>869</v>
      </c>
    </row>
    <row r="2851" customFormat="false" ht="12.8" hidden="false" customHeight="false" outlineLevel="0" collapsed="false">
      <c r="A2851" s="1" t="s">
        <v>1192</v>
      </c>
      <c r="C2851" s="3" t="s">
        <v>1100</v>
      </c>
      <c r="D2851" s="4" t="s">
        <v>1550</v>
      </c>
      <c r="F2851" s="6" t="s">
        <v>1547</v>
      </c>
      <c r="G2851" s="7" t="str">
        <f aca="false">HYPERLINK(CONCATENATE("http://crfop.gdos.gov.pl/CRFOP/widok/viewuzytekekologiczny.jsf?fop=","PL.ZIPOP.1393.UE.1015012.114"),"(kliknij lub Ctrl+kliknij)")</f>
        <v>(kliknij lub Ctrl+kliknij)</v>
      </c>
      <c r="H2851" s="0" t="s">
        <v>869</v>
      </c>
    </row>
    <row r="2852" customFormat="false" ht="12.8" hidden="false" customHeight="false" outlineLevel="0" collapsed="false">
      <c r="A2852" s="1" t="s">
        <v>1192</v>
      </c>
      <c r="C2852" s="3" t="s">
        <v>1100</v>
      </c>
      <c r="D2852" s="4" t="s">
        <v>1235</v>
      </c>
      <c r="F2852" s="6" t="s">
        <v>1547</v>
      </c>
      <c r="G2852" s="7" t="str">
        <f aca="false">HYPERLINK(CONCATENATE("http://crfop.gdos.gov.pl/CRFOP/widok/viewuzytekekologiczny.jsf?fop=","PL.ZIPOP.1393.UE.1015012.115"),"(kliknij lub Ctrl+kliknij)")</f>
        <v>(kliknij lub Ctrl+kliknij)</v>
      </c>
      <c r="H2852" s="0" t="s">
        <v>869</v>
      </c>
    </row>
    <row r="2853" customFormat="false" ht="12.8" hidden="false" customHeight="false" outlineLevel="0" collapsed="false">
      <c r="A2853" s="1" t="s">
        <v>1192</v>
      </c>
      <c r="C2853" s="3" t="s">
        <v>1100</v>
      </c>
      <c r="D2853" s="4" t="s">
        <v>1240</v>
      </c>
      <c r="F2853" s="6" t="s">
        <v>1547</v>
      </c>
      <c r="G2853" s="7" t="str">
        <f aca="false">HYPERLINK(CONCATENATE("http://crfop.gdos.gov.pl/CRFOP/widok/viewuzytekekologiczny.jsf?fop=","PL.ZIPOP.1393.UE.1015012.116"),"(kliknij lub Ctrl+kliknij)")</f>
        <v>(kliknij lub Ctrl+kliknij)</v>
      </c>
      <c r="H2853" s="0" t="s">
        <v>869</v>
      </c>
    </row>
    <row r="2854" customFormat="false" ht="12.8" hidden="false" customHeight="false" outlineLevel="0" collapsed="false">
      <c r="A2854" s="1" t="s">
        <v>1192</v>
      </c>
      <c r="C2854" s="3" t="s">
        <v>1100</v>
      </c>
      <c r="D2854" s="4" t="s">
        <v>1206</v>
      </c>
      <c r="F2854" s="6" t="s">
        <v>1547</v>
      </c>
      <c r="G2854" s="7" t="str">
        <f aca="false">HYPERLINK(CONCATENATE("http://crfop.gdos.gov.pl/CRFOP/widok/viewuzytekekologiczny.jsf?fop=","PL.ZIPOP.1393.UE.1015012.117"),"(kliknij lub Ctrl+kliknij)")</f>
        <v>(kliknij lub Ctrl+kliknij)</v>
      </c>
      <c r="H2854" s="0" t="s">
        <v>869</v>
      </c>
    </row>
    <row r="2855" customFormat="false" ht="12.8" hidden="false" customHeight="false" outlineLevel="0" collapsed="false">
      <c r="A2855" s="1" t="s">
        <v>1192</v>
      </c>
      <c r="C2855" s="3" t="s">
        <v>1100</v>
      </c>
      <c r="D2855" s="4" t="s">
        <v>1235</v>
      </c>
      <c r="F2855" s="6" t="s">
        <v>1547</v>
      </c>
      <c r="G2855" s="7" t="str">
        <f aca="false">HYPERLINK(CONCATENATE("http://crfop.gdos.gov.pl/CRFOP/widok/viewuzytekekologiczny.jsf?fop=","PL.ZIPOP.1393.UE.1015012.118"),"(kliknij lub Ctrl+kliknij)")</f>
        <v>(kliknij lub Ctrl+kliknij)</v>
      </c>
      <c r="H2855" s="0" t="s">
        <v>869</v>
      </c>
    </row>
    <row r="2856" customFormat="false" ht="12.8" hidden="false" customHeight="false" outlineLevel="0" collapsed="false">
      <c r="A2856" s="1" t="s">
        <v>1192</v>
      </c>
      <c r="C2856" s="3" t="s">
        <v>1100</v>
      </c>
      <c r="D2856" s="4" t="s">
        <v>1551</v>
      </c>
      <c r="F2856" s="6" t="s">
        <v>1547</v>
      </c>
      <c r="G2856" s="7" t="str">
        <f aca="false">HYPERLINK(CONCATENATE("http://crfop.gdos.gov.pl/CRFOP/widok/viewuzytekekologiczny.jsf?fop=","PL.ZIPOP.1393.UE.1015012.119"),"(kliknij lub Ctrl+kliknij)")</f>
        <v>(kliknij lub Ctrl+kliknij)</v>
      </c>
      <c r="H2856" s="0" t="s">
        <v>869</v>
      </c>
    </row>
    <row r="2857" customFormat="false" ht="12.8" hidden="false" customHeight="false" outlineLevel="0" collapsed="false">
      <c r="A2857" s="1" t="s">
        <v>1192</v>
      </c>
      <c r="C2857" s="3" t="s">
        <v>1100</v>
      </c>
      <c r="D2857" s="4" t="s">
        <v>1552</v>
      </c>
      <c r="F2857" s="6" t="s">
        <v>1547</v>
      </c>
      <c r="G2857" s="7" t="str">
        <f aca="false">HYPERLINK(CONCATENATE("http://crfop.gdos.gov.pl/CRFOP/widok/viewuzytekekologiczny.jsf?fop=","PL.ZIPOP.1393.UE.1015012.120"),"(kliknij lub Ctrl+kliknij)")</f>
        <v>(kliknij lub Ctrl+kliknij)</v>
      </c>
      <c r="H2857" s="0" t="s">
        <v>869</v>
      </c>
    </row>
    <row r="2858" customFormat="false" ht="12.8" hidden="false" customHeight="false" outlineLevel="0" collapsed="false">
      <c r="A2858" s="1" t="s">
        <v>1192</v>
      </c>
      <c r="C2858" s="3" t="s">
        <v>1100</v>
      </c>
      <c r="D2858" s="4" t="s">
        <v>1302</v>
      </c>
      <c r="F2858" s="6" t="s">
        <v>1547</v>
      </c>
      <c r="G2858" s="7" t="str">
        <f aca="false">HYPERLINK(CONCATENATE("http://crfop.gdos.gov.pl/CRFOP/widok/viewuzytekekologiczny.jsf?fop=","PL.ZIPOP.1393.UE.1015012.121"),"(kliknij lub Ctrl+kliknij)")</f>
        <v>(kliknij lub Ctrl+kliknij)</v>
      </c>
      <c r="H2858" s="0" t="s">
        <v>869</v>
      </c>
    </row>
    <row r="2859" customFormat="false" ht="12.8" hidden="false" customHeight="false" outlineLevel="0" collapsed="false">
      <c r="A2859" s="1" t="s">
        <v>1192</v>
      </c>
      <c r="C2859" s="3" t="s">
        <v>1100</v>
      </c>
      <c r="D2859" s="4" t="s">
        <v>1264</v>
      </c>
      <c r="F2859" s="6" t="s">
        <v>1547</v>
      </c>
      <c r="G2859" s="7" t="str">
        <f aca="false">HYPERLINK(CONCATENATE("http://crfop.gdos.gov.pl/CRFOP/widok/viewuzytekekologiczny.jsf?fop=","PL.ZIPOP.1393.UE.1015012.122"),"(kliknij lub Ctrl+kliknij)")</f>
        <v>(kliknij lub Ctrl+kliknij)</v>
      </c>
      <c r="H2859" s="0" t="s">
        <v>869</v>
      </c>
    </row>
    <row r="2860" customFormat="false" ht="12.8" hidden="false" customHeight="false" outlineLevel="0" collapsed="false">
      <c r="A2860" s="1" t="s">
        <v>1192</v>
      </c>
      <c r="C2860" s="3" t="s">
        <v>1100</v>
      </c>
      <c r="D2860" s="4" t="s">
        <v>1246</v>
      </c>
      <c r="F2860" s="6" t="s">
        <v>1547</v>
      </c>
      <c r="G2860" s="7" t="str">
        <f aca="false">HYPERLINK(CONCATENATE("http://crfop.gdos.gov.pl/CRFOP/widok/viewuzytekekologiczny.jsf?fop=","PL.ZIPOP.1393.UE.1015012.123"),"(kliknij lub Ctrl+kliknij)")</f>
        <v>(kliknij lub Ctrl+kliknij)</v>
      </c>
      <c r="H2860" s="0" t="s">
        <v>869</v>
      </c>
    </row>
    <row r="2861" customFormat="false" ht="12.8" hidden="false" customHeight="false" outlineLevel="0" collapsed="false">
      <c r="A2861" s="1" t="s">
        <v>1192</v>
      </c>
      <c r="C2861" s="3" t="s">
        <v>1100</v>
      </c>
      <c r="D2861" s="4" t="s">
        <v>1435</v>
      </c>
      <c r="F2861" s="6" t="s">
        <v>1547</v>
      </c>
      <c r="G2861" s="7" t="str">
        <f aca="false">HYPERLINK(CONCATENATE("http://crfop.gdos.gov.pl/CRFOP/widok/viewuzytekekologiczny.jsf?fop=","PL.ZIPOP.1393.UE.1015012.124"),"(kliknij lub Ctrl+kliknij)")</f>
        <v>(kliknij lub Ctrl+kliknij)</v>
      </c>
      <c r="H2861" s="0" t="s">
        <v>869</v>
      </c>
    </row>
    <row r="2862" customFormat="false" ht="12.8" hidden="false" customHeight="false" outlineLevel="0" collapsed="false">
      <c r="A2862" s="1" t="s">
        <v>1192</v>
      </c>
      <c r="C2862" s="3" t="s">
        <v>1100</v>
      </c>
      <c r="D2862" s="4" t="s">
        <v>1413</v>
      </c>
      <c r="F2862" s="6" t="s">
        <v>1547</v>
      </c>
      <c r="G2862" s="7" t="str">
        <f aca="false">HYPERLINK(CONCATENATE("http://crfop.gdos.gov.pl/CRFOP/widok/viewuzytekekologiczny.jsf?fop=","PL.ZIPOP.1393.UE.1015012.125"),"(kliknij lub Ctrl+kliknij)")</f>
        <v>(kliknij lub Ctrl+kliknij)</v>
      </c>
      <c r="H2862" s="0" t="s">
        <v>869</v>
      </c>
    </row>
    <row r="2863" customFormat="false" ht="12.8" hidden="false" customHeight="false" outlineLevel="0" collapsed="false">
      <c r="A2863" s="1" t="s">
        <v>1192</v>
      </c>
      <c r="C2863" s="3" t="s">
        <v>1100</v>
      </c>
      <c r="D2863" s="4" t="s">
        <v>1208</v>
      </c>
      <c r="F2863" s="6" t="s">
        <v>1547</v>
      </c>
      <c r="G2863" s="7" t="str">
        <f aca="false">HYPERLINK(CONCATENATE("http://crfop.gdos.gov.pl/CRFOP/widok/viewuzytekekologiczny.jsf?fop=","PL.ZIPOP.1393.UE.1015012.126"),"(kliknij lub Ctrl+kliknij)")</f>
        <v>(kliknij lub Ctrl+kliknij)</v>
      </c>
      <c r="H2863" s="0" t="s">
        <v>869</v>
      </c>
    </row>
    <row r="2864" customFormat="false" ht="12.8" hidden="false" customHeight="false" outlineLevel="0" collapsed="false">
      <c r="A2864" s="1" t="s">
        <v>1192</v>
      </c>
      <c r="C2864" s="3" t="s">
        <v>1100</v>
      </c>
      <c r="D2864" s="4" t="s">
        <v>1553</v>
      </c>
      <c r="F2864" s="6" t="s">
        <v>1547</v>
      </c>
      <c r="G2864" s="7" t="str">
        <f aca="false">HYPERLINK(CONCATENATE("http://crfop.gdos.gov.pl/CRFOP/widok/viewuzytekekologiczny.jsf?fop=","PL.ZIPOP.1393.UE.1015012.127"),"(kliknij lub Ctrl+kliknij)")</f>
        <v>(kliknij lub Ctrl+kliknij)</v>
      </c>
      <c r="H2864" s="0" t="s">
        <v>869</v>
      </c>
    </row>
    <row r="2865" customFormat="false" ht="12.8" hidden="false" customHeight="false" outlineLevel="0" collapsed="false">
      <c r="A2865" s="1" t="s">
        <v>1192</v>
      </c>
      <c r="C2865" s="3" t="s">
        <v>1554</v>
      </c>
      <c r="D2865" s="4" t="s">
        <v>1555</v>
      </c>
      <c r="F2865" s="6" t="s">
        <v>1556</v>
      </c>
      <c r="G2865" s="7" t="str">
        <f aca="false">HYPERLINK(CONCATENATE("http://crfop.gdos.gov.pl/CRFOP/widok/viewuzytekekologiczny.jsf?fop=","PL.ZIPOP.1393.UE.1015012.128"),"(kliknij lub Ctrl+kliknij)")</f>
        <v>(kliknij lub Ctrl+kliknij)</v>
      </c>
      <c r="H2865" s="0" t="s">
        <v>869</v>
      </c>
    </row>
    <row r="2866" customFormat="false" ht="12.8" hidden="false" customHeight="false" outlineLevel="0" collapsed="false">
      <c r="A2866" s="1" t="s">
        <v>1192</v>
      </c>
      <c r="C2866" s="3" t="s">
        <v>1100</v>
      </c>
      <c r="D2866" s="4" t="s">
        <v>1218</v>
      </c>
      <c r="F2866" s="6" t="s">
        <v>1547</v>
      </c>
      <c r="G2866" s="7" t="str">
        <f aca="false">HYPERLINK(CONCATENATE("http://crfop.gdos.gov.pl/CRFOP/widok/viewuzytekekologiczny.jsf?fop=","PL.ZIPOP.1393.UE.1015012.129"),"(kliknij lub Ctrl+kliknij)")</f>
        <v>(kliknij lub Ctrl+kliknij)</v>
      </c>
      <c r="H2866" s="0" t="s">
        <v>869</v>
      </c>
    </row>
    <row r="2867" customFormat="false" ht="12.8" hidden="false" customHeight="false" outlineLevel="0" collapsed="false">
      <c r="A2867" s="1" t="s">
        <v>1192</v>
      </c>
      <c r="C2867" s="3" t="s">
        <v>1299</v>
      </c>
      <c r="D2867" s="4" t="s">
        <v>1223</v>
      </c>
      <c r="F2867" s="6" t="s">
        <v>1303</v>
      </c>
      <c r="G2867" s="7" t="str">
        <f aca="false">HYPERLINK(CONCATENATE("http://crfop.gdos.gov.pl/CRFOP/widok/viewuzytekekologiczny.jsf?fop=","PL.ZIPOP.1393.UE.1015012.75"),"(kliknij lub Ctrl+kliknij)")</f>
        <v>(kliknij lub Ctrl+kliknij)</v>
      </c>
      <c r="H2867" s="0" t="s">
        <v>869</v>
      </c>
    </row>
    <row r="2868" customFormat="false" ht="12.8" hidden="false" customHeight="false" outlineLevel="0" collapsed="false">
      <c r="A2868" s="1" t="s">
        <v>1192</v>
      </c>
      <c r="C2868" s="3" t="s">
        <v>1299</v>
      </c>
      <c r="D2868" s="4" t="s">
        <v>1557</v>
      </c>
      <c r="F2868" s="6" t="s">
        <v>1303</v>
      </c>
      <c r="G2868" s="7" t="str">
        <f aca="false">HYPERLINK(CONCATENATE("http://crfop.gdos.gov.pl/CRFOP/widok/viewuzytekekologiczny.jsf?fop=","PL.ZIPOP.1393.UE.1015012.76"),"(kliknij lub Ctrl+kliknij)")</f>
        <v>(kliknij lub Ctrl+kliknij)</v>
      </c>
      <c r="H2868" s="0" t="s">
        <v>869</v>
      </c>
    </row>
    <row r="2869" customFormat="false" ht="12.8" hidden="false" customHeight="false" outlineLevel="0" collapsed="false">
      <c r="A2869" s="1" t="s">
        <v>1192</v>
      </c>
      <c r="C2869" s="3" t="s">
        <v>1299</v>
      </c>
      <c r="D2869" s="4" t="s">
        <v>1215</v>
      </c>
      <c r="F2869" s="6" t="s">
        <v>1303</v>
      </c>
      <c r="G2869" s="7" t="str">
        <f aca="false">HYPERLINK(CONCATENATE("http://crfop.gdos.gov.pl/CRFOP/widok/viewuzytekekologiczny.jsf?fop=","PL.ZIPOP.1393.UE.1015012.77"),"(kliknij lub Ctrl+kliknij)")</f>
        <v>(kliknij lub Ctrl+kliknij)</v>
      </c>
      <c r="H2869" s="0" t="s">
        <v>869</v>
      </c>
    </row>
    <row r="2870" customFormat="false" ht="12.8" hidden="false" customHeight="false" outlineLevel="0" collapsed="false">
      <c r="A2870" s="1" t="s">
        <v>1192</v>
      </c>
      <c r="C2870" s="3" t="s">
        <v>1299</v>
      </c>
      <c r="D2870" s="4" t="s">
        <v>1558</v>
      </c>
      <c r="F2870" s="6" t="s">
        <v>1303</v>
      </c>
      <c r="G2870" s="7" t="str">
        <f aca="false">HYPERLINK(CONCATENATE("http://crfop.gdos.gov.pl/CRFOP/widok/viewuzytekekologiczny.jsf?fop=","PL.ZIPOP.1393.UE.1015012.78"),"(kliknij lub Ctrl+kliknij)")</f>
        <v>(kliknij lub Ctrl+kliknij)</v>
      </c>
      <c r="H2870" s="0" t="s">
        <v>869</v>
      </c>
    </row>
    <row r="2871" customFormat="false" ht="12.8" hidden="false" customHeight="false" outlineLevel="0" collapsed="false">
      <c r="A2871" s="1" t="s">
        <v>1192</v>
      </c>
      <c r="C2871" s="3" t="s">
        <v>1299</v>
      </c>
      <c r="D2871" s="4" t="s">
        <v>1272</v>
      </c>
      <c r="F2871" s="6" t="s">
        <v>1303</v>
      </c>
      <c r="G2871" s="7" t="str">
        <f aca="false">HYPERLINK(CONCATENATE("http://crfop.gdos.gov.pl/CRFOP/widok/viewuzytekekologiczny.jsf?fop=","PL.ZIPOP.1393.UE.1015012.79"),"(kliknij lub Ctrl+kliknij)")</f>
        <v>(kliknij lub Ctrl+kliknij)</v>
      </c>
      <c r="H2871" s="0" t="s">
        <v>869</v>
      </c>
    </row>
    <row r="2872" customFormat="false" ht="12.8" hidden="false" customHeight="false" outlineLevel="0" collapsed="false">
      <c r="A2872" s="1" t="s">
        <v>1192</v>
      </c>
      <c r="C2872" s="3" t="s">
        <v>1299</v>
      </c>
      <c r="D2872" s="4" t="s">
        <v>1212</v>
      </c>
      <c r="F2872" s="6" t="s">
        <v>1303</v>
      </c>
      <c r="G2872" s="7" t="str">
        <f aca="false">HYPERLINK(CONCATENATE("http://crfop.gdos.gov.pl/CRFOP/widok/viewuzytekekologiczny.jsf?fop=","PL.ZIPOP.1393.UE.1015012.80"),"(kliknij lub Ctrl+kliknij)")</f>
        <v>(kliknij lub Ctrl+kliknij)</v>
      </c>
      <c r="H2872" s="0" t="s">
        <v>869</v>
      </c>
    </row>
    <row r="2873" customFormat="false" ht="12.8" hidden="false" customHeight="false" outlineLevel="0" collapsed="false">
      <c r="A2873" s="1" t="s">
        <v>1192</v>
      </c>
      <c r="C2873" s="3" t="s">
        <v>1299</v>
      </c>
      <c r="D2873" s="4" t="s">
        <v>1426</v>
      </c>
      <c r="F2873" s="6" t="s">
        <v>1303</v>
      </c>
      <c r="G2873" s="7" t="str">
        <f aca="false">HYPERLINK(CONCATENATE("http://crfop.gdos.gov.pl/CRFOP/widok/viewuzytekekologiczny.jsf?fop=","PL.ZIPOP.1393.UE.1015012.81"),"(kliknij lub Ctrl+kliknij)")</f>
        <v>(kliknij lub Ctrl+kliknij)</v>
      </c>
      <c r="H2873" s="0" t="s">
        <v>869</v>
      </c>
    </row>
    <row r="2874" customFormat="false" ht="12.8" hidden="false" customHeight="false" outlineLevel="0" collapsed="false">
      <c r="A2874" s="1" t="s">
        <v>1192</v>
      </c>
      <c r="C2874" s="3" t="s">
        <v>1299</v>
      </c>
      <c r="D2874" s="4" t="s">
        <v>1340</v>
      </c>
      <c r="F2874" s="6" t="s">
        <v>1303</v>
      </c>
      <c r="G2874" s="7" t="str">
        <f aca="false">HYPERLINK(CONCATENATE("http://crfop.gdos.gov.pl/CRFOP/widok/viewuzytekekologiczny.jsf?fop=","PL.ZIPOP.1393.UE.1015012.83"),"(kliknij lub Ctrl+kliknij)")</f>
        <v>(kliknij lub Ctrl+kliknij)</v>
      </c>
      <c r="H2874" s="0" t="s">
        <v>869</v>
      </c>
    </row>
    <row r="2875" customFormat="false" ht="12.8" hidden="false" customHeight="false" outlineLevel="0" collapsed="false">
      <c r="A2875" s="1" t="s">
        <v>1192</v>
      </c>
      <c r="C2875" s="3" t="s">
        <v>1299</v>
      </c>
      <c r="D2875" s="4" t="s">
        <v>1356</v>
      </c>
      <c r="F2875" s="6" t="s">
        <v>1303</v>
      </c>
      <c r="G2875" s="7" t="str">
        <f aca="false">HYPERLINK(CONCATENATE("http://crfop.gdos.gov.pl/CRFOP/widok/viewuzytekekologiczny.jsf?fop=","PL.ZIPOP.1393.UE.1015012.84"),"(kliknij lub Ctrl+kliknij)")</f>
        <v>(kliknij lub Ctrl+kliknij)</v>
      </c>
      <c r="H2875" s="0" t="s">
        <v>869</v>
      </c>
    </row>
    <row r="2876" customFormat="false" ht="12.8" hidden="false" customHeight="false" outlineLevel="0" collapsed="false">
      <c r="A2876" s="1" t="s">
        <v>1192</v>
      </c>
      <c r="C2876" s="3" t="s">
        <v>1299</v>
      </c>
      <c r="D2876" s="4" t="s">
        <v>1383</v>
      </c>
      <c r="F2876" s="6" t="s">
        <v>1303</v>
      </c>
      <c r="G2876" s="7" t="str">
        <f aca="false">HYPERLINK(CONCATENATE("http://crfop.gdos.gov.pl/CRFOP/widok/viewuzytekekologiczny.jsf?fop=","PL.ZIPOP.1393.UE.1015012.85"),"(kliknij lub Ctrl+kliknij)")</f>
        <v>(kliknij lub Ctrl+kliknij)</v>
      </c>
      <c r="H2876" s="0" t="s">
        <v>869</v>
      </c>
    </row>
    <row r="2877" customFormat="false" ht="12.8" hidden="false" customHeight="false" outlineLevel="0" collapsed="false">
      <c r="A2877" s="1" t="s">
        <v>1192</v>
      </c>
      <c r="C2877" s="3" t="s">
        <v>1299</v>
      </c>
      <c r="D2877" s="4" t="s">
        <v>1559</v>
      </c>
      <c r="F2877" s="6" t="s">
        <v>1303</v>
      </c>
      <c r="G2877" s="7" t="str">
        <f aca="false">HYPERLINK(CONCATENATE("http://crfop.gdos.gov.pl/CRFOP/widok/viewuzytekekologiczny.jsf?fop=","PL.ZIPOP.1393.UE.1015012.86"),"(kliknij lub Ctrl+kliknij)")</f>
        <v>(kliknij lub Ctrl+kliknij)</v>
      </c>
      <c r="H2877" s="0" t="s">
        <v>869</v>
      </c>
    </row>
    <row r="2878" customFormat="false" ht="12.8" hidden="false" customHeight="false" outlineLevel="0" collapsed="false">
      <c r="A2878" s="1" t="s">
        <v>1192</v>
      </c>
      <c r="C2878" s="3" t="s">
        <v>1299</v>
      </c>
      <c r="D2878" s="4" t="s">
        <v>1422</v>
      </c>
      <c r="F2878" s="6" t="s">
        <v>1303</v>
      </c>
      <c r="G2878" s="7" t="str">
        <f aca="false">HYPERLINK(CONCATENATE("http://crfop.gdos.gov.pl/CRFOP/widok/viewuzytekekologiczny.jsf?fop=","PL.ZIPOP.1393.UE.1015012.87"),"(kliknij lub Ctrl+kliknij)")</f>
        <v>(kliknij lub Ctrl+kliknij)</v>
      </c>
      <c r="H2878" s="0" t="s">
        <v>869</v>
      </c>
    </row>
    <row r="2879" customFormat="false" ht="12.8" hidden="false" customHeight="false" outlineLevel="0" collapsed="false">
      <c r="A2879" s="1" t="s">
        <v>1192</v>
      </c>
      <c r="C2879" s="3" t="s">
        <v>1299</v>
      </c>
      <c r="D2879" s="4" t="s">
        <v>1560</v>
      </c>
      <c r="F2879" s="6" t="s">
        <v>1303</v>
      </c>
      <c r="G2879" s="7" t="str">
        <f aca="false">HYPERLINK(CONCATENATE("http://crfop.gdos.gov.pl/CRFOP/widok/viewuzytekekologiczny.jsf?fop=","PL.ZIPOP.1393.UE.1015012.88"),"(kliknij lub Ctrl+kliknij)")</f>
        <v>(kliknij lub Ctrl+kliknij)</v>
      </c>
      <c r="H2879" s="0" t="s">
        <v>869</v>
      </c>
    </row>
    <row r="2880" customFormat="false" ht="12.8" hidden="false" customHeight="false" outlineLevel="0" collapsed="false">
      <c r="A2880" s="1" t="s">
        <v>1192</v>
      </c>
      <c r="C2880" s="3" t="s">
        <v>1299</v>
      </c>
      <c r="D2880" s="4" t="s">
        <v>1324</v>
      </c>
      <c r="F2880" s="6" t="s">
        <v>1303</v>
      </c>
      <c r="G2880" s="7" t="str">
        <f aca="false">HYPERLINK(CONCATENATE("http://crfop.gdos.gov.pl/CRFOP/widok/viewuzytekekologiczny.jsf?fop=","PL.ZIPOP.1393.UE.1015012.89"),"(kliknij lub Ctrl+kliknij)")</f>
        <v>(kliknij lub Ctrl+kliknij)</v>
      </c>
      <c r="H2880" s="0" t="s">
        <v>869</v>
      </c>
    </row>
    <row r="2881" customFormat="false" ht="12.8" hidden="false" customHeight="false" outlineLevel="0" collapsed="false">
      <c r="A2881" s="1" t="s">
        <v>1192</v>
      </c>
      <c r="C2881" s="3" t="s">
        <v>1299</v>
      </c>
      <c r="D2881" s="4" t="s">
        <v>1561</v>
      </c>
      <c r="F2881" s="6" t="s">
        <v>1303</v>
      </c>
      <c r="G2881" s="7" t="str">
        <f aca="false">HYPERLINK(CONCATENATE("http://crfop.gdos.gov.pl/CRFOP/widok/viewuzytekekologiczny.jsf?fop=","PL.ZIPOP.1393.UE.1015012.90"),"(kliknij lub Ctrl+kliknij)")</f>
        <v>(kliknij lub Ctrl+kliknij)</v>
      </c>
      <c r="H2881" s="0" t="s">
        <v>869</v>
      </c>
    </row>
    <row r="2882" customFormat="false" ht="12.8" hidden="false" customHeight="false" outlineLevel="0" collapsed="false">
      <c r="A2882" s="1" t="s">
        <v>1192</v>
      </c>
      <c r="C2882" s="3" t="s">
        <v>1299</v>
      </c>
      <c r="D2882" s="4" t="s">
        <v>1562</v>
      </c>
      <c r="F2882" s="6" t="s">
        <v>1303</v>
      </c>
      <c r="G2882" s="7" t="str">
        <f aca="false">HYPERLINK(CONCATENATE("http://crfop.gdos.gov.pl/CRFOP/widok/viewuzytekekologiczny.jsf?fop=","PL.ZIPOP.1393.UE.1015012.91"),"(kliknij lub Ctrl+kliknij)")</f>
        <v>(kliknij lub Ctrl+kliknij)</v>
      </c>
      <c r="H2882" s="0" t="s">
        <v>869</v>
      </c>
    </row>
    <row r="2883" customFormat="false" ht="12.8" hidden="false" customHeight="false" outlineLevel="0" collapsed="false">
      <c r="A2883" s="1" t="s">
        <v>1192</v>
      </c>
      <c r="C2883" s="3" t="s">
        <v>1299</v>
      </c>
      <c r="D2883" s="4" t="s">
        <v>1359</v>
      </c>
      <c r="F2883" s="6" t="s">
        <v>1303</v>
      </c>
      <c r="G2883" s="7" t="str">
        <f aca="false">HYPERLINK(CONCATENATE("http://crfop.gdos.gov.pl/CRFOP/widok/viewuzytekekologiczny.jsf?fop=","PL.ZIPOP.1393.UE.1015012.92"),"(kliknij lub Ctrl+kliknij)")</f>
        <v>(kliknij lub Ctrl+kliknij)</v>
      </c>
      <c r="H2883" s="0" t="s">
        <v>869</v>
      </c>
    </row>
    <row r="2884" customFormat="false" ht="12.8" hidden="false" customHeight="false" outlineLevel="0" collapsed="false">
      <c r="A2884" s="1" t="s">
        <v>1192</v>
      </c>
      <c r="C2884" s="3" t="s">
        <v>1299</v>
      </c>
      <c r="D2884" s="4" t="s">
        <v>1239</v>
      </c>
      <c r="F2884" s="6" t="s">
        <v>1303</v>
      </c>
      <c r="G2884" s="7" t="str">
        <f aca="false">HYPERLINK(CONCATENATE("http://crfop.gdos.gov.pl/CRFOP/widok/viewuzytekekologiczny.jsf?fop=","PL.ZIPOP.1393.UE.1015012.93"),"(kliknij lub Ctrl+kliknij)")</f>
        <v>(kliknij lub Ctrl+kliknij)</v>
      </c>
      <c r="H2884" s="0" t="s">
        <v>869</v>
      </c>
    </row>
    <row r="2885" customFormat="false" ht="12.8" hidden="false" customHeight="false" outlineLevel="0" collapsed="false">
      <c r="A2885" s="1" t="s">
        <v>1192</v>
      </c>
      <c r="C2885" s="3" t="s">
        <v>1299</v>
      </c>
      <c r="D2885" s="4" t="s">
        <v>1364</v>
      </c>
      <c r="F2885" s="6" t="s">
        <v>1303</v>
      </c>
      <c r="G2885" s="7" t="str">
        <f aca="false">HYPERLINK(CONCATENATE("http://crfop.gdos.gov.pl/CRFOP/widok/viewuzytekekologiczny.jsf?fop=","PL.ZIPOP.1393.UE.1015012.94"),"(kliknij lub Ctrl+kliknij)")</f>
        <v>(kliknij lub Ctrl+kliknij)</v>
      </c>
      <c r="H2885" s="0" t="s">
        <v>869</v>
      </c>
    </row>
    <row r="2886" customFormat="false" ht="12.8" hidden="false" customHeight="false" outlineLevel="0" collapsed="false">
      <c r="A2886" s="1" t="s">
        <v>1192</v>
      </c>
      <c r="C2886" s="3" t="s">
        <v>1299</v>
      </c>
      <c r="D2886" s="4" t="s">
        <v>1389</v>
      </c>
      <c r="F2886" s="6" t="s">
        <v>1303</v>
      </c>
      <c r="G2886" s="7" t="str">
        <f aca="false">HYPERLINK(CONCATENATE("http://crfop.gdos.gov.pl/CRFOP/widok/viewuzytekekologiczny.jsf?fop=","PL.ZIPOP.1393.UE.1015012.95"),"(kliknij lub Ctrl+kliknij)")</f>
        <v>(kliknij lub Ctrl+kliknij)</v>
      </c>
      <c r="H2886" s="0" t="s">
        <v>869</v>
      </c>
    </row>
    <row r="2887" customFormat="false" ht="12.8" hidden="false" customHeight="false" outlineLevel="0" collapsed="false">
      <c r="A2887" s="1" t="s">
        <v>1192</v>
      </c>
      <c r="C2887" s="3" t="s">
        <v>1299</v>
      </c>
      <c r="D2887" s="4" t="s">
        <v>1471</v>
      </c>
      <c r="F2887" s="6" t="s">
        <v>1303</v>
      </c>
      <c r="G2887" s="7" t="str">
        <f aca="false">HYPERLINK(CONCATENATE("http://crfop.gdos.gov.pl/CRFOP/widok/viewuzytekekologiczny.jsf?fop=","PL.ZIPOP.1393.UE.1015012.96"),"(kliknij lub Ctrl+kliknij)")</f>
        <v>(kliknij lub Ctrl+kliknij)</v>
      </c>
      <c r="H2887" s="0" t="s">
        <v>869</v>
      </c>
    </row>
    <row r="2888" customFormat="false" ht="12.8" hidden="false" customHeight="false" outlineLevel="0" collapsed="false">
      <c r="A2888" s="1" t="s">
        <v>1192</v>
      </c>
      <c r="C2888" s="3" t="s">
        <v>1299</v>
      </c>
      <c r="D2888" s="4" t="s">
        <v>1304</v>
      </c>
      <c r="F2888" s="6" t="s">
        <v>1303</v>
      </c>
      <c r="G2888" s="7" t="str">
        <f aca="false">HYPERLINK(CONCATENATE("http://crfop.gdos.gov.pl/CRFOP/widok/viewuzytekekologiczny.jsf?fop=","PL.ZIPOP.1393.UE.1015012.97"),"(kliknij lub Ctrl+kliknij)")</f>
        <v>(kliknij lub Ctrl+kliknij)</v>
      </c>
      <c r="H2888" s="0" t="s">
        <v>869</v>
      </c>
    </row>
    <row r="2889" customFormat="false" ht="12.8" hidden="false" customHeight="false" outlineLevel="0" collapsed="false">
      <c r="A2889" s="1" t="s">
        <v>1192</v>
      </c>
      <c r="C2889" s="3" t="s">
        <v>1299</v>
      </c>
      <c r="D2889" s="4" t="s">
        <v>1563</v>
      </c>
      <c r="F2889" s="6" t="s">
        <v>1303</v>
      </c>
      <c r="G2889" s="7" t="str">
        <f aca="false">HYPERLINK(CONCATENATE("http://crfop.gdos.gov.pl/CRFOP/widok/viewuzytekekologiczny.jsf?fop=","PL.ZIPOP.1393.UE.1015012.98"),"(kliknij lub Ctrl+kliknij)")</f>
        <v>(kliknij lub Ctrl+kliknij)</v>
      </c>
      <c r="H2889" s="0" t="s">
        <v>869</v>
      </c>
    </row>
    <row r="2890" customFormat="false" ht="12.8" hidden="false" customHeight="false" outlineLevel="0" collapsed="false">
      <c r="A2890" s="1" t="s">
        <v>1192</v>
      </c>
      <c r="C2890" s="3" t="s">
        <v>1299</v>
      </c>
      <c r="D2890" s="4" t="s">
        <v>1421</v>
      </c>
      <c r="F2890" s="6" t="s">
        <v>1303</v>
      </c>
      <c r="G2890" s="7" t="str">
        <f aca="false">HYPERLINK(CONCATENATE("http://crfop.gdos.gov.pl/CRFOP/widok/viewuzytekekologiczny.jsf?fop=","PL.ZIPOP.1393.UE.1015012.99"),"(kliknij lub Ctrl+kliknij)")</f>
        <v>(kliknij lub Ctrl+kliknij)</v>
      </c>
      <c r="H2890" s="0" t="s">
        <v>869</v>
      </c>
    </row>
    <row r="2891" customFormat="false" ht="12.8" hidden="false" customHeight="false" outlineLevel="0" collapsed="false">
      <c r="A2891" s="1" t="s">
        <v>1192</v>
      </c>
      <c r="C2891" s="3" t="s">
        <v>1100</v>
      </c>
      <c r="D2891" s="4" t="s">
        <v>1240</v>
      </c>
      <c r="F2891" s="6" t="s">
        <v>1305</v>
      </c>
      <c r="G2891" s="7" t="str">
        <f aca="false">HYPERLINK(CONCATENATE("http://crfop.gdos.gov.pl/CRFOP/widok/viewuzytekekologiczny.jsf?fop=","PL.ZIPOP.1393.UE.1015062.130"),"(kliknij lub Ctrl+kliknij)")</f>
        <v>(kliknij lub Ctrl+kliknij)</v>
      </c>
      <c r="H2891" s="0" t="s">
        <v>880</v>
      </c>
    </row>
    <row r="2892" customFormat="false" ht="12.8" hidden="false" customHeight="false" outlineLevel="0" collapsed="false">
      <c r="A2892" s="1" t="s">
        <v>1192</v>
      </c>
      <c r="C2892" s="3" t="s">
        <v>1100</v>
      </c>
      <c r="D2892" s="4" t="s">
        <v>1564</v>
      </c>
      <c r="F2892" s="6" t="s">
        <v>1305</v>
      </c>
      <c r="G2892" s="7" t="str">
        <f aca="false">HYPERLINK(CONCATENATE("http://crfop.gdos.gov.pl/CRFOP/widok/viewuzytekekologiczny.jsf?fop=","PL.ZIPOP.1393.UE.1015062.131"),"(kliknij lub Ctrl+kliknij)")</f>
        <v>(kliknij lub Ctrl+kliknij)</v>
      </c>
      <c r="H2892" s="0" t="s">
        <v>880</v>
      </c>
    </row>
    <row r="2893" customFormat="false" ht="12.8" hidden="false" customHeight="false" outlineLevel="0" collapsed="false">
      <c r="A2893" s="1" t="s">
        <v>1192</v>
      </c>
      <c r="C2893" s="3" t="s">
        <v>1100</v>
      </c>
      <c r="D2893" s="4" t="s">
        <v>1444</v>
      </c>
      <c r="F2893" s="6" t="s">
        <v>1305</v>
      </c>
      <c r="G2893" s="7" t="str">
        <f aca="false">HYPERLINK(CONCATENATE("http://crfop.gdos.gov.pl/CRFOP/widok/viewuzytekekologiczny.jsf?fop=","PL.ZIPOP.1393.UE.1015062.132"),"(kliknij lub Ctrl+kliknij)")</f>
        <v>(kliknij lub Ctrl+kliknij)</v>
      </c>
      <c r="H2893" s="0" t="s">
        <v>880</v>
      </c>
    </row>
    <row r="2894" customFormat="false" ht="12.8" hidden="false" customHeight="false" outlineLevel="0" collapsed="false">
      <c r="A2894" s="1" t="s">
        <v>1192</v>
      </c>
      <c r="C2894" s="3" t="s">
        <v>1299</v>
      </c>
      <c r="D2894" s="4" t="s">
        <v>1278</v>
      </c>
      <c r="F2894" s="6" t="s">
        <v>1303</v>
      </c>
      <c r="G2894" s="7" t="str">
        <f aca="false">HYPERLINK(CONCATENATE("http://crfop.gdos.gov.pl/CRFOP/widok/viewuzytekekologiczny.jsf?fop=","PL.ZIPOP.1393.UE.1015062.133"),"(kliknij lub Ctrl+kliknij)")</f>
        <v>(kliknij lub Ctrl+kliknij)</v>
      </c>
      <c r="H2894" s="0" t="s">
        <v>880</v>
      </c>
    </row>
    <row r="2895" customFormat="false" ht="12.8" hidden="false" customHeight="false" outlineLevel="0" collapsed="false">
      <c r="A2895" s="1" t="s">
        <v>1192</v>
      </c>
      <c r="C2895" s="3" t="s">
        <v>1299</v>
      </c>
      <c r="D2895" s="4" t="s">
        <v>1565</v>
      </c>
      <c r="F2895" s="6" t="s">
        <v>1303</v>
      </c>
      <c r="G2895" s="7" t="str">
        <f aca="false">HYPERLINK(CONCATENATE("http://crfop.gdos.gov.pl/CRFOP/widok/viewuzytekekologiczny.jsf?fop=","PL.ZIPOP.1393.UE.1015062.134"),"(kliknij lub Ctrl+kliknij)")</f>
        <v>(kliknij lub Ctrl+kliknij)</v>
      </c>
      <c r="H2895" s="0" t="s">
        <v>880</v>
      </c>
    </row>
    <row r="2896" customFormat="false" ht="12.8" hidden="false" customHeight="false" outlineLevel="0" collapsed="false">
      <c r="A2896" s="1" t="s">
        <v>1192</v>
      </c>
      <c r="C2896" s="3" t="s">
        <v>1299</v>
      </c>
      <c r="D2896" s="4" t="s">
        <v>1249</v>
      </c>
      <c r="F2896" s="6" t="s">
        <v>1303</v>
      </c>
      <c r="G2896" s="7" t="str">
        <f aca="false">HYPERLINK(CONCATENATE("http://crfop.gdos.gov.pl/CRFOP/widok/viewuzytekekologiczny.jsf?fop=","PL.ZIPOP.1393.UE.1015062.135"),"(kliknij lub Ctrl+kliknij)")</f>
        <v>(kliknij lub Ctrl+kliknij)</v>
      </c>
      <c r="H2896" s="0" t="s">
        <v>880</v>
      </c>
    </row>
    <row r="2897" customFormat="false" ht="12.8" hidden="false" customHeight="false" outlineLevel="0" collapsed="false">
      <c r="A2897" s="1" t="s">
        <v>1192</v>
      </c>
      <c r="C2897" s="3" t="s">
        <v>1299</v>
      </c>
      <c r="D2897" s="4" t="s">
        <v>1209</v>
      </c>
      <c r="F2897" s="6" t="s">
        <v>1303</v>
      </c>
      <c r="G2897" s="7" t="str">
        <f aca="false">HYPERLINK(CONCATENATE("http://crfop.gdos.gov.pl/CRFOP/widok/viewuzytekekologiczny.jsf?fop=","PL.ZIPOP.1393.UE.1015062.136"),"(kliknij lub Ctrl+kliknij)")</f>
        <v>(kliknij lub Ctrl+kliknij)</v>
      </c>
      <c r="H2897" s="0" t="s">
        <v>880</v>
      </c>
    </row>
    <row r="2898" customFormat="false" ht="12.8" hidden="false" customHeight="false" outlineLevel="0" collapsed="false">
      <c r="A2898" s="1" t="s">
        <v>1192</v>
      </c>
      <c r="C2898" s="3" t="s">
        <v>1299</v>
      </c>
      <c r="D2898" s="4" t="s">
        <v>1435</v>
      </c>
      <c r="F2898" s="6" t="s">
        <v>1303</v>
      </c>
      <c r="G2898" s="7" t="str">
        <f aca="false">HYPERLINK(CONCATENATE("http://crfop.gdos.gov.pl/CRFOP/widok/viewuzytekekologiczny.jsf?fop=","PL.ZIPOP.1393.UE.1015062.137"),"(kliknij lub Ctrl+kliknij)")</f>
        <v>(kliknij lub Ctrl+kliknij)</v>
      </c>
      <c r="H2898" s="0" t="s">
        <v>880</v>
      </c>
    </row>
    <row r="2899" customFormat="false" ht="12.8" hidden="false" customHeight="false" outlineLevel="0" collapsed="false">
      <c r="A2899" s="1" t="s">
        <v>1192</v>
      </c>
      <c r="C2899" s="3" t="s">
        <v>1299</v>
      </c>
      <c r="D2899" s="4" t="s">
        <v>1351</v>
      </c>
      <c r="F2899" s="6" t="s">
        <v>1303</v>
      </c>
      <c r="G2899" s="7" t="str">
        <f aca="false">HYPERLINK(CONCATENATE("http://crfop.gdos.gov.pl/CRFOP/widok/viewuzytekekologiczny.jsf?fop=","PL.ZIPOP.1393.UE.1015062.138"),"(kliknij lub Ctrl+kliknij)")</f>
        <v>(kliknij lub Ctrl+kliknij)</v>
      </c>
      <c r="H2899" s="0" t="s">
        <v>880</v>
      </c>
    </row>
    <row r="2900" customFormat="false" ht="12.8" hidden="false" customHeight="false" outlineLevel="0" collapsed="false">
      <c r="A2900" s="1" t="s">
        <v>1192</v>
      </c>
      <c r="C2900" s="3" t="s">
        <v>1299</v>
      </c>
      <c r="D2900" s="4" t="s">
        <v>1326</v>
      </c>
      <c r="F2900" s="6" t="s">
        <v>1303</v>
      </c>
      <c r="G2900" s="7" t="str">
        <f aca="false">HYPERLINK(CONCATENATE("http://crfop.gdos.gov.pl/CRFOP/widok/viewuzytekekologiczny.jsf?fop=","PL.ZIPOP.1393.UE.1015062.139"),"(kliknij lub Ctrl+kliknij)")</f>
        <v>(kliknij lub Ctrl+kliknij)</v>
      </c>
      <c r="H2900" s="0" t="s">
        <v>880</v>
      </c>
    </row>
    <row r="2901" customFormat="false" ht="12.8" hidden="false" customHeight="false" outlineLevel="0" collapsed="false">
      <c r="A2901" s="1" t="s">
        <v>1192</v>
      </c>
      <c r="C2901" s="3" t="s">
        <v>1299</v>
      </c>
      <c r="D2901" s="4" t="s">
        <v>1356</v>
      </c>
      <c r="F2901" s="6" t="s">
        <v>1303</v>
      </c>
      <c r="G2901" s="7" t="str">
        <f aca="false">HYPERLINK(CONCATENATE("http://crfop.gdos.gov.pl/CRFOP/widok/viewuzytekekologiczny.jsf?fop=","PL.ZIPOP.1393.UE.1015072.171"),"(kliknij lub Ctrl+kliknij)")</f>
        <v>(kliknij lub Ctrl+kliknij)</v>
      </c>
      <c r="H2901" s="0" t="s">
        <v>891</v>
      </c>
    </row>
    <row r="2902" customFormat="false" ht="12.8" hidden="false" customHeight="false" outlineLevel="0" collapsed="false">
      <c r="A2902" s="1" t="s">
        <v>1192</v>
      </c>
      <c r="C2902" s="3" t="s">
        <v>1299</v>
      </c>
      <c r="D2902" s="4" t="s">
        <v>1250</v>
      </c>
      <c r="F2902" s="6" t="s">
        <v>1303</v>
      </c>
      <c r="G2902" s="7" t="str">
        <f aca="false">HYPERLINK(CONCATENATE("http://crfop.gdos.gov.pl/CRFOP/widok/viewuzytekekologiczny.jsf?fop=","PL.ZIPOP.1393.UE.1015082.140"),"(kliknij lub Ctrl+kliknij)")</f>
        <v>(kliknij lub Ctrl+kliknij)</v>
      </c>
      <c r="H2902" s="0" t="s">
        <v>895</v>
      </c>
    </row>
    <row r="2903" customFormat="false" ht="12.8" hidden="false" customHeight="false" outlineLevel="0" collapsed="false">
      <c r="A2903" s="1" t="s">
        <v>1192</v>
      </c>
      <c r="C2903" s="3" t="s">
        <v>1299</v>
      </c>
      <c r="D2903" s="4" t="s">
        <v>1475</v>
      </c>
      <c r="F2903" s="6" t="s">
        <v>1303</v>
      </c>
      <c r="G2903" s="7" t="str">
        <f aca="false">HYPERLINK(CONCATENATE("http://crfop.gdos.gov.pl/CRFOP/widok/viewuzytekekologiczny.jsf?fop=","PL.ZIPOP.1393.UE.1015082.141"),"(kliknij lub Ctrl+kliknij)")</f>
        <v>(kliknij lub Ctrl+kliknij)</v>
      </c>
      <c r="H2903" s="0" t="s">
        <v>895</v>
      </c>
    </row>
    <row r="2904" customFormat="false" ht="12.8" hidden="false" customHeight="false" outlineLevel="0" collapsed="false">
      <c r="A2904" s="1" t="s">
        <v>1192</v>
      </c>
      <c r="C2904" s="3" t="s">
        <v>1299</v>
      </c>
      <c r="D2904" s="4" t="s">
        <v>1421</v>
      </c>
      <c r="F2904" s="6" t="s">
        <v>1303</v>
      </c>
      <c r="G2904" s="7" t="str">
        <f aca="false">HYPERLINK(CONCATENATE("http://crfop.gdos.gov.pl/CRFOP/widok/viewuzytekekologiczny.jsf?fop=","PL.ZIPOP.1393.UE.1015082.142"),"(kliknij lub Ctrl+kliknij)")</f>
        <v>(kliknij lub Ctrl+kliknij)</v>
      </c>
      <c r="H2904" s="0" t="s">
        <v>895</v>
      </c>
    </row>
    <row r="2905" customFormat="false" ht="12.8" hidden="false" customHeight="false" outlineLevel="0" collapsed="false">
      <c r="A2905" s="1" t="s">
        <v>1192</v>
      </c>
      <c r="C2905" s="3" t="s">
        <v>1299</v>
      </c>
      <c r="D2905" s="4" t="s">
        <v>1271</v>
      </c>
      <c r="F2905" s="6" t="s">
        <v>1303</v>
      </c>
      <c r="G2905" s="7" t="str">
        <f aca="false">HYPERLINK(CONCATENATE("http://crfop.gdos.gov.pl/CRFOP/widok/viewuzytekekologiczny.jsf?fop=","PL.ZIPOP.1393.UE.1015082.143"),"(kliknij lub Ctrl+kliknij)")</f>
        <v>(kliknij lub Ctrl+kliknij)</v>
      </c>
      <c r="H2905" s="0" t="s">
        <v>895</v>
      </c>
    </row>
    <row r="2906" customFormat="false" ht="12.8" hidden="false" customHeight="false" outlineLevel="0" collapsed="false">
      <c r="A2906" s="1" t="s">
        <v>1192</v>
      </c>
      <c r="C2906" s="3" t="s">
        <v>1299</v>
      </c>
      <c r="D2906" s="4" t="s">
        <v>1212</v>
      </c>
      <c r="F2906" s="6" t="s">
        <v>1303</v>
      </c>
      <c r="G2906" s="7" t="str">
        <f aca="false">HYPERLINK(CONCATENATE("http://crfop.gdos.gov.pl/CRFOP/widok/viewuzytekekologiczny.jsf?fop=","PL.ZIPOP.1393.UE.1015082.144"),"(kliknij lub Ctrl+kliknij)")</f>
        <v>(kliknij lub Ctrl+kliknij)</v>
      </c>
      <c r="H2906" s="0" t="s">
        <v>895</v>
      </c>
    </row>
    <row r="2907" customFormat="false" ht="12.8" hidden="false" customHeight="false" outlineLevel="0" collapsed="false">
      <c r="A2907" s="1" t="s">
        <v>1192</v>
      </c>
      <c r="C2907" s="3" t="s">
        <v>1299</v>
      </c>
      <c r="D2907" s="4" t="s">
        <v>1389</v>
      </c>
      <c r="F2907" s="6" t="s">
        <v>1303</v>
      </c>
      <c r="G2907" s="7" t="str">
        <f aca="false">HYPERLINK(CONCATENATE("http://crfop.gdos.gov.pl/CRFOP/widok/viewuzytekekologiczny.jsf?fop=","PL.ZIPOP.1393.UE.1015082.145"),"(kliknij lub Ctrl+kliknij)")</f>
        <v>(kliknij lub Ctrl+kliknij)</v>
      </c>
      <c r="H2907" s="0" t="s">
        <v>895</v>
      </c>
    </row>
    <row r="2908" customFormat="false" ht="12.8" hidden="false" customHeight="false" outlineLevel="0" collapsed="false">
      <c r="A2908" s="1" t="s">
        <v>1192</v>
      </c>
      <c r="C2908" s="3" t="s">
        <v>1299</v>
      </c>
      <c r="D2908" s="4" t="s">
        <v>1422</v>
      </c>
      <c r="F2908" s="6" t="s">
        <v>1303</v>
      </c>
      <c r="G2908" s="7" t="str">
        <f aca="false">HYPERLINK(CONCATENATE("http://crfop.gdos.gov.pl/CRFOP/widok/viewuzytekekologiczny.jsf?fop=","PL.ZIPOP.1393.UE.1015082.146"),"(kliknij lub Ctrl+kliknij)")</f>
        <v>(kliknij lub Ctrl+kliknij)</v>
      </c>
      <c r="H2908" s="0" t="s">
        <v>895</v>
      </c>
    </row>
    <row r="2909" customFormat="false" ht="12.8" hidden="false" customHeight="false" outlineLevel="0" collapsed="false">
      <c r="A2909" s="1" t="s">
        <v>1192</v>
      </c>
      <c r="C2909" s="3" t="s">
        <v>1299</v>
      </c>
      <c r="D2909" s="4" t="s">
        <v>1566</v>
      </c>
      <c r="F2909" s="6" t="s">
        <v>1303</v>
      </c>
      <c r="G2909" s="7" t="str">
        <f aca="false">HYPERLINK(CONCATENATE("http://crfop.gdos.gov.pl/CRFOP/widok/viewuzytekekologiczny.jsf?fop=","PL.ZIPOP.1393.UE.1015082.147"),"(kliknij lub Ctrl+kliknij)")</f>
        <v>(kliknij lub Ctrl+kliknij)</v>
      </c>
      <c r="H2909" s="0" t="s">
        <v>895</v>
      </c>
    </row>
    <row r="2910" customFormat="false" ht="12.8" hidden="false" customHeight="false" outlineLevel="0" collapsed="false">
      <c r="A2910" s="1" t="s">
        <v>1192</v>
      </c>
      <c r="C2910" s="3" t="s">
        <v>1299</v>
      </c>
      <c r="D2910" s="4" t="s">
        <v>1407</v>
      </c>
      <c r="F2910" s="6" t="s">
        <v>1303</v>
      </c>
      <c r="G2910" s="7" t="str">
        <f aca="false">HYPERLINK(CONCATENATE("http://crfop.gdos.gov.pl/CRFOP/widok/viewuzytekekologiczny.jsf?fop=","PL.ZIPOP.1393.UE.1015082.148"),"(kliknij lub Ctrl+kliknij)")</f>
        <v>(kliknij lub Ctrl+kliknij)</v>
      </c>
      <c r="H2910" s="0" t="s">
        <v>895</v>
      </c>
    </row>
    <row r="2911" customFormat="false" ht="12.8" hidden="false" customHeight="false" outlineLevel="0" collapsed="false">
      <c r="A2911" s="1" t="s">
        <v>1192</v>
      </c>
      <c r="C2911" s="3" t="s">
        <v>1299</v>
      </c>
      <c r="D2911" s="4" t="s">
        <v>1341</v>
      </c>
      <c r="F2911" s="6" t="s">
        <v>1303</v>
      </c>
      <c r="G2911" s="7" t="str">
        <f aca="false">HYPERLINK(CONCATENATE("http://crfop.gdos.gov.pl/CRFOP/widok/viewuzytekekologiczny.jsf?fop=","PL.ZIPOP.1393.UE.1015082.149"),"(kliknij lub Ctrl+kliknij)")</f>
        <v>(kliknij lub Ctrl+kliknij)</v>
      </c>
      <c r="H2911" s="0" t="s">
        <v>895</v>
      </c>
    </row>
    <row r="2912" customFormat="false" ht="12.8" hidden="false" customHeight="false" outlineLevel="0" collapsed="false">
      <c r="A2912" s="1" t="s">
        <v>1192</v>
      </c>
      <c r="C2912" s="3" t="s">
        <v>1299</v>
      </c>
      <c r="D2912" s="4" t="s">
        <v>1324</v>
      </c>
      <c r="F2912" s="6" t="s">
        <v>1303</v>
      </c>
      <c r="G2912" s="7" t="str">
        <f aca="false">HYPERLINK(CONCATENATE("http://crfop.gdos.gov.pl/CRFOP/widok/viewuzytekekologiczny.jsf?fop=","PL.ZIPOP.1393.UE.1015082.150"),"(kliknij lub Ctrl+kliknij)")</f>
        <v>(kliknij lub Ctrl+kliknij)</v>
      </c>
      <c r="H2912" s="0" t="s">
        <v>895</v>
      </c>
    </row>
    <row r="2913" customFormat="false" ht="12.8" hidden="false" customHeight="false" outlineLevel="0" collapsed="false">
      <c r="A2913" s="1" t="s">
        <v>1192</v>
      </c>
      <c r="C2913" s="3" t="s">
        <v>1299</v>
      </c>
      <c r="D2913" s="4" t="s">
        <v>1359</v>
      </c>
      <c r="F2913" s="6" t="s">
        <v>1303</v>
      </c>
      <c r="G2913" s="7" t="str">
        <f aca="false">HYPERLINK(CONCATENATE("http://crfop.gdos.gov.pl/CRFOP/widok/viewuzytekekologiczny.jsf?fop=","PL.ZIPOP.1393.UE.1015082.151"),"(kliknij lub Ctrl+kliknij)")</f>
        <v>(kliknij lub Ctrl+kliknij)</v>
      </c>
      <c r="H2913" s="0" t="s">
        <v>895</v>
      </c>
    </row>
    <row r="2914" customFormat="false" ht="12.8" hidden="false" customHeight="false" outlineLevel="0" collapsed="false">
      <c r="A2914" s="1" t="s">
        <v>1192</v>
      </c>
      <c r="C2914" s="3" t="s">
        <v>1299</v>
      </c>
      <c r="D2914" s="4" t="s">
        <v>1304</v>
      </c>
      <c r="F2914" s="6" t="s">
        <v>1303</v>
      </c>
      <c r="G2914" s="7" t="str">
        <f aca="false">HYPERLINK(CONCATENATE("http://crfop.gdos.gov.pl/CRFOP/widok/viewuzytekekologiczny.jsf?fop=","PL.ZIPOP.1393.UE.1015082.152"),"(kliknij lub Ctrl+kliknij)")</f>
        <v>(kliknij lub Ctrl+kliknij)</v>
      </c>
      <c r="H2914" s="0" t="s">
        <v>895</v>
      </c>
    </row>
    <row r="2915" customFormat="false" ht="12.8" hidden="false" customHeight="false" outlineLevel="0" collapsed="false">
      <c r="A2915" s="1" t="s">
        <v>1192</v>
      </c>
      <c r="C2915" s="3" t="s">
        <v>1299</v>
      </c>
      <c r="D2915" s="4" t="s">
        <v>1330</v>
      </c>
      <c r="F2915" s="6" t="s">
        <v>1303</v>
      </c>
      <c r="G2915" s="7" t="str">
        <f aca="false">HYPERLINK(CONCATENATE("http://crfop.gdos.gov.pl/CRFOP/widok/viewuzytekekologiczny.jsf?fop=","PL.ZIPOP.1393.UE.1015082.153"),"(kliknij lub Ctrl+kliknij)")</f>
        <v>(kliknij lub Ctrl+kliknij)</v>
      </c>
      <c r="H2915" s="0" t="s">
        <v>895</v>
      </c>
    </row>
    <row r="2916" customFormat="false" ht="12.8" hidden="false" customHeight="false" outlineLevel="0" collapsed="false">
      <c r="A2916" s="1" t="s">
        <v>1192</v>
      </c>
      <c r="C2916" s="3" t="s">
        <v>1299</v>
      </c>
      <c r="D2916" s="4" t="s">
        <v>1239</v>
      </c>
      <c r="F2916" s="6" t="s">
        <v>1303</v>
      </c>
      <c r="G2916" s="7" t="str">
        <f aca="false">HYPERLINK(CONCATENATE("http://crfop.gdos.gov.pl/CRFOP/widok/viewuzytekekologiczny.jsf?fop=","PL.ZIPOP.1393.UE.1015082.154"),"(kliknij lub Ctrl+kliknij)")</f>
        <v>(kliknij lub Ctrl+kliknij)</v>
      </c>
      <c r="H2916" s="0" t="s">
        <v>895</v>
      </c>
    </row>
    <row r="2917" customFormat="false" ht="12.8" hidden="false" customHeight="false" outlineLevel="0" collapsed="false">
      <c r="A2917" s="1" t="s">
        <v>1192</v>
      </c>
      <c r="C2917" s="3" t="s">
        <v>1299</v>
      </c>
      <c r="D2917" s="4" t="s">
        <v>1272</v>
      </c>
      <c r="F2917" s="6" t="s">
        <v>1303</v>
      </c>
      <c r="G2917" s="7" t="str">
        <f aca="false">HYPERLINK(CONCATENATE("http://crfop.gdos.gov.pl/CRFOP/widok/viewuzytekekologiczny.jsf?fop=","PL.ZIPOP.1393.UE.1015082.155"),"(kliknij lub Ctrl+kliknij)")</f>
        <v>(kliknij lub Ctrl+kliknij)</v>
      </c>
      <c r="H2917" s="0" t="s">
        <v>895</v>
      </c>
    </row>
    <row r="2918" customFormat="false" ht="12.8" hidden="false" customHeight="false" outlineLevel="0" collapsed="false">
      <c r="A2918" s="1" t="s">
        <v>1192</v>
      </c>
      <c r="C2918" s="3" t="s">
        <v>1100</v>
      </c>
      <c r="D2918" s="4" t="s">
        <v>1383</v>
      </c>
      <c r="F2918" s="6" t="s">
        <v>1305</v>
      </c>
      <c r="G2918" s="7" t="str">
        <f aca="false">HYPERLINK(CONCATENATE("http://crfop.gdos.gov.pl/CRFOP/widok/viewuzytekekologiczny.jsf?fop=","PL.ZIPOP.1393.UE.1015082.156"),"(kliknij lub Ctrl+kliknij)")</f>
        <v>(kliknij lub Ctrl+kliknij)</v>
      </c>
      <c r="H2918" s="0" t="s">
        <v>895</v>
      </c>
    </row>
    <row r="2919" customFormat="false" ht="12.8" hidden="false" customHeight="false" outlineLevel="0" collapsed="false">
      <c r="A2919" s="1" t="s">
        <v>1192</v>
      </c>
      <c r="B2919" s="2" t="s">
        <v>1567</v>
      </c>
      <c r="C2919" s="3" t="s">
        <v>900</v>
      </c>
      <c r="D2919" s="4" t="s">
        <v>1568</v>
      </c>
      <c r="F2919" s="6" t="s">
        <v>1569</v>
      </c>
      <c r="G2919" s="7" t="str">
        <f aca="false">HYPERLINK(CONCATENATE("http://crfop.gdos.gov.pl/CRFOP/widok/viewuzytekekologiczny.jsf?fop=","PL.ZIPOP.1393.UE.1015082.157"),"(kliknij lub Ctrl+kliknij)")</f>
        <v>(kliknij lub Ctrl+kliknij)</v>
      </c>
      <c r="H2919" s="0" t="s">
        <v>895</v>
      </c>
    </row>
    <row r="2920" customFormat="false" ht="12.8" hidden="false" customHeight="false" outlineLevel="0" collapsed="false">
      <c r="A2920" s="1" t="s">
        <v>1192</v>
      </c>
      <c r="C2920" s="3" t="s">
        <v>399</v>
      </c>
      <c r="D2920" s="4" t="s">
        <v>1432</v>
      </c>
      <c r="F2920" s="6" t="s">
        <v>1417</v>
      </c>
      <c r="G2920" s="7" t="str">
        <f aca="false">HYPERLINK(CONCATENATE("http://crfop.gdos.gov.pl/CRFOP/widok/viewuzytekekologiczny.jsf?fop=","PL.ZIPOP.1393.UE.1016011.189"),"(kliknij lub Ctrl+kliknij)")</f>
        <v>(kliknij lub Ctrl+kliknij)</v>
      </c>
      <c r="H2920" s="0" t="s">
        <v>902</v>
      </c>
    </row>
    <row r="2921" customFormat="false" ht="12.8" hidden="false" customHeight="false" outlineLevel="0" collapsed="false">
      <c r="A2921" s="1" t="s">
        <v>1192</v>
      </c>
      <c r="C2921" s="3" t="s">
        <v>399</v>
      </c>
      <c r="D2921" s="4" t="s">
        <v>1364</v>
      </c>
      <c r="F2921" s="6" t="s">
        <v>1417</v>
      </c>
      <c r="G2921" s="7" t="str">
        <f aca="false">HYPERLINK(CONCATENATE("http://crfop.gdos.gov.pl/CRFOP/widok/viewuzytekekologiczny.jsf?fop=","PL.ZIPOP.1393.UE.1016011.190"),"(kliknij lub Ctrl+kliknij)")</f>
        <v>(kliknij lub Ctrl+kliknij)</v>
      </c>
      <c r="H2921" s="0" t="s">
        <v>902</v>
      </c>
    </row>
    <row r="2922" customFormat="false" ht="12.8" hidden="false" customHeight="false" outlineLevel="0" collapsed="false">
      <c r="A2922" s="1" t="s">
        <v>1192</v>
      </c>
      <c r="C2922" s="3" t="s">
        <v>399</v>
      </c>
      <c r="D2922" s="4" t="s">
        <v>1421</v>
      </c>
      <c r="F2922" s="6" t="s">
        <v>1417</v>
      </c>
      <c r="G2922" s="7" t="str">
        <f aca="false">HYPERLINK(CONCATENATE("http://crfop.gdos.gov.pl/CRFOP/widok/viewuzytekekologiczny.jsf?fop=","PL.ZIPOP.1393.UE.1016011.191"),"(kliknij lub Ctrl+kliknij)")</f>
        <v>(kliknij lub Ctrl+kliknij)</v>
      </c>
      <c r="H2922" s="0" t="s">
        <v>902</v>
      </c>
    </row>
    <row r="2923" customFormat="false" ht="12.8" hidden="false" customHeight="false" outlineLevel="0" collapsed="false">
      <c r="A2923" s="1" t="s">
        <v>1192</v>
      </c>
      <c r="C2923" s="3" t="s">
        <v>1193</v>
      </c>
      <c r="D2923" s="4" t="s">
        <v>1471</v>
      </c>
      <c r="F2923" s="6" t="s">
        <v>1195</v>
      </c>
      <c r="G2923" s="7" t="str">
        <f aca="false">HYPERLINK(CONCATENATE("http://crfop.gdos.gov.pl/CRFOP/widok/viewuzytekekologiczny.jsf?fop=","PL.ZIPOP.1393.UE.1016011.192"),"(kliknij lub Ctrl+kliknij)")</f>
        <v>(kliknij lub Ctrl+kliknij)</v>
      </c>
      <c r="H2923" s="0" t="s">
        <v>902</v>
      </c>
    </row>
    <row r="2924" customFormat="false" ht="12.8" hidden="false" customHeight="false" outlineLevel="0" collapsed="false">
      <c r="A2924" s="1" t="s">
        <v>1192</v>
      </c>
      <c r="C2924" s="3" t="s">
        <v>1193</v>
      </c>
      <c r="D2924" s="4" t="s">
        <v>1386</v>
      </c>
      <c r="F2924" s="6" t="s">
        <v>1195</v>
      </c>
      <c r="G2924" s="7" t="str">
        <f aca="false">HYPERLINK(CONCATENATE("http://crfop.gdos.gov.pl/CRFOP/widok/viewuzytekekologiczny.jsf?fop=","PL.ZIPOP.1393.UE.1016011.193"),"(kliknij lub Ctrl+kliknij)")</f>
        <v>(kliknij lub Ctrl+kliknij)</v>
      </c>
      <c r="H2924" s="0" t="s">
        <v>902</v>
      </c>
    </row>
    <row r="2925" customFormat="false" ht="12.8" hidden="false" customHeight="false" outlineLevel="0" collapsed="false">
      <c r="A2925" s="1" t="s">
        <v>1192</v>
      </c>
      <c r="C2925" s="3" t="s">
        <v>574</v>
      </c>
      <c r="D2925" s="4" t="s">
        <v>1239</v>
      </c>
      <c r="F2925" s="6" t="s">
        <v>1198</v>
      </c>
      <c r="G2925" s="7" t="str">
        <f aca="false">HYPERLINK(CONCATENATE("http://crfop.gdos.gov.pl/CRFOP/widok/viewuzytekekologiczny.jsf?fop=","PL.ZIPOP.1393.UE.1016052.172"),"(kliknij lub Ctrl+kliknij)")</f>
        <v>(kliknij lub Ctrl+kliknij)</v>
      </c>
      <c r="H2925" s="0" t="s">
        <v>908</v>
      </c>
    </row>
    <row r="2926" customFormat="false" ht="12.8" hidden="false" customHeight="false" outlineLevel="0" collapsed="false">
      <c r="A2926" s="1" t="s">
        <v>1192</v>
      </c>
      <c r="C2926" s="3" t="s">
        <v>574</v>
      </c>
      <c r="D2926" s="4" t="s">
        <v>1324</v>
      </c>
      <c r="F2926" s="6" t="s">
        <v>1198</v>
      </c>
      <c r="G2926" s="7" t="str">
        <f aca="false">HYPERLINK(CONCATENATE("http://crfop.gdos.gov.pl/CRFOP/widok/viewuzytekekologiczny.jsf?fop=","PL.ZIPOP.1393.UE.1016052.173"),"(kliknij lub Ctrl+kliknij)")</f>
        <v>(kliknij lub Ctrl+kliknij)</v>
      </c>
      <c r="H2926" s="0" t="s">
        <v>908</v>
      </c>
    </row>
    <row r="2927" customFormat="false" ht="12.8" hidden="false" customHeight="false" outlineLevel="0" collapsed="false">
      <c r="A2927" s="1" t="s">
        <v>1192</v>
      </c>
      <c r="C2927" s="3" t="s">
        <v>498</v>
      </c>
      <c r="D2927" s="4" t="s">
        <v>1570</v>
      </c>
      <c r="F2927" s="6" t="s">
        <v>1571</v>
      </c>
      <c r="G2927" s="7" t="str">
        <f aca="false">HYPERLINK(CONCATENATE("http://crfop.gdos.gov.pl/CRFOP/widok/viewuzytekekologiczny.jsf?fop=","PL.ZIPOP.1393.UE.1016052.174"),"(kliknij lub Ctrl+kliknij)")</f>
        <v>(kliknij lub Ctrl+kliknij)</v>
      </c>
      <c r="H2927" s="0" t="s">
        <v>908</v>
      </c>
    </row>
    <row r="2928" customFormat="false" ht="12.8" hidden="false" customHeight="false" outlineLevel="0" collapsed="false">
      <c r="A2928" s="1" t="s">
        <v>1192</v>
      </c>
      <c r="B2928" s="2" t="s">
        <v>1572</v>
      </c>
      <c r="C2928" s="3" t="s">
        <v>574</v>
      </c>
      <c r="D2928" s="4" t="s">
        <v>1240</v>
      </c>
      <c r="F2928" s="6" t="s">
        <v>1198</v>
      </c>
      <c r="G2928" s="7" t="str">
        <f aca="false">HYPERLINK(CONCATENATE("http://crfop.gdos.gov.pl/CRFOP/widok/viewuzytekekologiczny.jsf?fop=","PL.ZIPOP.1393.UE.1016072.199"),"(kliknij lub Ctrl+kliknij)")</f>
        <v>(kliknij lub Ctrl+kliknij)</v>
      </c>
      <c r="H2928" s="0" t="s">
        <v>945</v>
      </c>
    </row>
    <row r="2929" customFormat="false" ht="12.8" hidden="false" customHeight="false" outlineLevel="0" collapsed="false">
      <c r="A2929" s="1" t="s">
        <v>1192</v>
      </c>
      <c r="B2929" s="2" t="s">
        <v>1573</v>
      </c>
      <c r="C2929" s="3" t="s">
        <v>574</v>
      </c>
      <c r="D2929" s="4" t="s">
        <v>1302</v>
      </c>
      <c r="F2929" s="6" t="s">
        <v>1198</v>
      </c>
      <c r="G2929" s="7" t="str">
        <f aca="false">HYPERLINK(CONCATENATE("http://crfop.gdos.gov.pl/CRFOP/widok/viewuzytekekologiczny.jsf?fop=","PL.ZIPOP.1393.UE.1016092.175"),"(kliknij lub Ctrl+kliknij)")</f>
        <v>(kliknij lub Ctrl+kliknij)</v>
      </c>
      <c r="H2929" s="0" t="s">
        <v>902</v>
      </c>
    </row>
    <row r="2930" customFormat="false" ht="12.8" hidden="false" customHeight="false" outlineLevel="0" collapsed="false">
      <c r="A2930" s="1" t="s">
        <v>1192</v>
      </c>
      <c r="B2930" s="2" t="s">
        <v>1574</v>
      </c>
      <c r="C2930" s="3" t="s">
        <v>574</v>
      </c>
      <c r="D2930" s="4" t="s">
        <v>1575</v>
      </c>
      <c r="F2930" s="6" t="s">
        <v>1198</v>
      </c>
      <c r="G2930" s="7" t="str">
        <f aca="false">HYPERLINK(CONCATENATE("http://crfop.gdos.gov.pl/CRFOP/widok/viewuzytekekologiczny.jsf?fop=","PL.ZIPOP.1393.UE.1016092.176"),"(kliknij lub Ctrl+kliknij)")</f>
        <v>(kliknij lub Ctrl+kliknij)</v>
      </c>
      <c r="H2930" s="0" t="s">
        <v>902</v>
      </c>
    </row>
    <row r="2931" customFormat="false" ht="12.8" hidden="false" customHeight="false" outlineLevel="0" collapsed="false">
      <c r="A2931" s="1" t="s">
        <v>1192</v>
      </c>
      <c r="B2931" s="2" t="s">
        <v>1576</v>
      </c>
      <c r="C2931" s="3" t="s">
        <v>574</v>
      </c>
      <c r="D2931" s="4" t="s">
        <v>1235</v>
      </c>
      <c r="F2931" s="6" t="s">
        <v>1198</v>
      </c>
      <c r="G2931" s="7" t="str">
        <f aca="false">HYPERLINK(CONCATENATE("http://crfop.gdos.gov.pl/CRFOP/widok/viewuzytekekologiczny.jsf?fop=","PL.ZIPOP.1393.UE.1016092.177"),"(kliknij lub Ctrl+kliknij)")</f>
        <v>(kliknij lub Ctrl+kliknij)</v>
      </c>
      <c r="H2931" s="0" t="s">
        <v>902</v>
      </c>
    </row>
    <row r="2932" customFormat="false" ht="12.8" hidden="false" customHeight="false" outlineLevel="0" collapsed="false">
      <c r="A2932" s="1" t="s">
        <v>1192</v>
      </c>
      <c r="B2932" s="2" t="s">
        <v>1577</v>
      </c>
      <c r="C2932" s="3" t="s">
        <v>574</v>
      </c>
      <c r="D2932" s="4" t="s">
        <v>1236</v>
      </c>
      <c r="F2932" s="6" t="s">
        <v>1198</v>
      </c>
      <c r="G2932" s="7" t="str">
        <f aca="false">HYPERLINK(CONCATENATE("http://crfop.gdos.gov.pl/CRFOP/widok/viewuzytekekologiczny.jsf?fop=","PL.ZIPOP.1393.UE.1016092.178"),"(kliknij lub Ctrl+kliknij)")</f>
        <v>(kliknij lub Ctrl+kliknij)</v>
      </c>
      <c r="H2932" s="0" t="s">
        <v>902</v>
      </c>
    </row>
    <row r="2933" customFormat="false" ht="12.8" hidden="false" customHeight="false" outlineLevel="0" collapsed="false">
      <c r="A2933" s="1" t="s">
        <v>1192</v>
      </c>
      <c r="B2933" s="2" t="s">
        <v>1578</v>
      </c>
      <c r="C2933" s="3" t="s">
        <v>574</v>
      </c>
      <c r="D2933" s="4" t="s">
        <v>1434</v>
      </c>
      <c r="F2933" s="6" t="s">
        <v>1198</v>
      </c>
      <c r="G2933" s="7" t="str">
        <f aca="false">HYPERLINK(CONCATENATE("http://crfop.gdos.gov.pl/CRFOP/widok/viewuzytekekologiczny.jsf?fop=","PL.ZIPOP.1393.UE.1016092.179"),"(kliknij lub Ctrl+kliknij)")</f>
        <v>(kliknij lub Ctrl+kliknij)</v>
      </c>
      <c r="H2933" s="0" t="s">
        <v>902</v>
      </c>
    </row>
    <row r="2934" customFormat="false" ht="12.8" hidden="false" customHeight="false" outlineLevel="0" collapsed="false">
      <c r="A2934" s="1" t="s">
        <v>1192</v>
      </c>
      <c r="B2934" s="2" t="s">
        <v>1579</v>
      </c>
      <c r="C2934" s="3" t="s">
        <v>574</v>
      </c>
      <c r="D2934" s="4" t="s">
        <v>1580</v>
      </c>
      <c r="F2934" s="6" t="s">
        <v>1198</v>
      </c>
      <c r="G2934" s="7" t="str">
        <f aca="false">HYPERLINK(CONCATENATE("http://crfop.gdos.gov.pl/CRFOP/widok/viewuzytekekologiczny.jsf?fop=","PL.ZIPOP.1393.UE.1016092.180"),"(kliknij lub Ctrl+kliknij)")</f>
        <v>(kliknij lub Ctrl+kliknij)</v>
      </c>
      <c r="H2934" s="0" t="s">
        <v>902</v>
      </c>
    </row>
    <row r="2935" customFormat="false" ht="12.8" hidden="false" customHeight="false" outlineLevel="0" collapsed="false">
      <c r="A2935" s="1" t="s">
        <v>1192</v>
      </c>
      <c r="B2935" s="2" t="s">
        <v>1581</v>
      </c>
      <c r="C2935" s="3" t="s">
        <v>574</v>
      </c>
      <c r="D2935" s="4" t="s">
        <v>1280</v>
      </c>
      <c r="F2935" s="6" t="s">
        <v>1198</v>
      </c>
      <c r="G2935" s="7" t="str">
        <f aca="false">HYPERLINK(CONCATENATE("http://crfop.gdos.gov.pl/CRFOP/widok/viewuzytekekologiczny.jsf?fop=","PL.ZIPOP.1393.UE.1016092.181"),"(kliknij lub Ctrl+kliknij)")</f>
        <v>(kliknij lub Ctrl+kliknij)</v>
      </c>
      <c r="H2935" s="0" t="s">
        <v>902</v>
      </c>
    </row>
    <row r="2936" customFormat="false" ht="12.8" hidden="false" customHeight="false" outlineLevel="0" collapsed="false">
      <c r="A2936" s="1" t="s">
        <v>1192</v>
      </c>
      <c r="B2936" s="2" t="s">
        <v>1582</v>
      </c>
      <c r="C2936" s="3" t="s">
        <v>574</v>
      </c>
      <c r="D2936" s="4" t="s">
        <v>1227</v>
      </c>
      <c r="F2936" s="6" t="s">
        <v>1198</v>
      </c>
      <c r="G2936" s="7" t="str">
        <f aca="false">HYPERLINK(CONCATENATE("http://crfop.gdos.gov.pl/CRFOP/widok/viewuzytekekologiczny.jsf?fop=","PL.ZIPOP.1393.UE.1016092.182"),"(kliknij lub Ctrl+kliknij)")</f>
        <v>(kliknij lub Ctrl+kliknij)</v>
      </c>
      <c r="H2936" s="0" t="s">
        <v>902</v>
      </c>
    </row>
    <row r="2937" customFormat="false" ht="12.8" hidden="false" customHeight="false" outlineLevel="0" collapsed="false">
      <c r="A2937" s="1" t="s">
        <v>1192</v>
      </c>
      <c r="B2937" s="2" t="s">
        <v>1583</v>
      </c>
      <c r="C2937" s="3" t="s">
        <v>574</v>
      </c>
      <c r="D2937" s="4" t="s">
        <v>1314</v>
      </c>
      <c r="F2937" s="6" t="s">
        <v>1198</v>
      </c>
      <c r="G2937" s="7" t="str">
        <f aca="false">HYPERLINK(CONCATENATE("http://crfop.gdos.gov.pl/CRFOP/widok/viewuzytekekologiczny.jsf?fop=","PL.ZIPOP.1393.UE.1016092.183"),"(kliknij lub Ctrl+kliknij)")</f>
        <v>(kliknij lub Ctrl+kliknij)</v>
      </c>
      <c r="H2937" s="0" t="s">
        <v>902</v>
      </c>
    </row>
    <row r="2938" customFormat="false" ht="12.8" hidden="false" customHeight="false" outlineLevel="0" collapsed="false">
      <c r="A2938" s="1" t="s">
        <v>1192</v>
      </c>
      <c r="B2938" s="2" t="s">
        <v>1584</v>
      </c>
      <c r="C2938" s="3" t="s">
        <v>574</v>
      </c>
      <c r="D2938" s="4" t="s">
        <v>1548</v>
      </c>
      <c r="F2938" s="6" t="s">
        <v>1198</v>
      </c>
      <c r="G2938" s="7" t="str">
        <f aca="false">HYPERLINK(CONCATENATE("http://crfop.gdos.gov.pl/CRFOP/widok/viewuzytekekologiczny.jsf?fop=","PL.ZIPOP.1393.UE.1016092.184"),"(kliknij lub Ctrl+kliknij)")</f>
        <v>(kliknij lub Ctrl+kliknij)</v>
      </c>
      <c r="H2938" s="0" t="s">
        <v>902</v>
      </c>
    </row>
    <row r="2939" customFormat="false" ht="12.8" hidden="false" customHeight="false" outlineLevel="0" collapsed="false">
      <c r="A2939" s="1" t="s">
        <v>1192</v>
      </c>
      <c r="B2939" s="2" t="s">
        <v>1585</v>
      </c>
      <c r="C2939" s="3" t="s">
        <v>574</v>
      </c>
      <c r="D2939" s="4" t="s">
        <v>1239</v>
      </c>
      <c r="F2939" s="6" t="s">
        <v>1198</v>
      </c>
      <c r="G2939" s="7" t="str">
        <f aca="false">HYPERLINK(CONCATENATE("http://crfop.gdos.gov.pl/CRFOP/widok/viewuzytekekologiczny.jsf?fop=","PL.ZIPOP.1393.UE.1016092.185"),"(kliknij lub Ctrl+kliknij)")</f>
        <v>(kliknij lub Ctrl+kliknij)</v>
      </c>
      <c r="H2939" s="0" t="s">
        <v>902</v>
      </c>
    </row>
    <row r="2940" customFormat="false" ht="12.8" hidden="false" customHeight="false" outlineLevel="0" collapsed="false">
      <c r="A2940" s="1" t="s">
        <v>1192</v>
      </c>
      <c r="B2940" s="2" t="s">
        <v>1586</v>
      </c>
      <c r="C2940" s="3" t="s">
        <v>574</v>
      </c>
      <c r="D2940" s="4" t="s">
        <v>1330</v>
      </c>
      <c r="F2940" s="6" t="s">
        <v>1198</v>
      </c>
      <c r="G2940" s="7" t="str">
        <f aca="false">HYPERLINK(CONCATENATE("http://crfop.gdos.gov.pl/CRFOP/widok/viewuzytekekologiczny.jsf?fop=","PL.ZIPOP.1393.UE.1016092.186"),"(kliknij lub Ctrl+kliknij)")</f>
        <v>(kliknij lub Ctrl+kliknij)</v>
      </c>
      <c r="H2940" s="0" t="s">
        <v>902</v>
      </c>
    </row>
    <row r="2941" customFormat="false" ht="12.8" hidden="false" customHeight="false" outlineLevel="0" collapsed="false">
      <c r="A2941" s="1" t="s">
        <v>1192</v>
      </c>
      <c r="B2941" s="2" t="s">
        <v>1587</v>
      </c>
      <c r="C2941" s="3" t="s">
        <v>574</v>
      </c>
      <c r="D2941" s="4" t="s">
        <v>1239</v>
      </c>
      <c r="F2941" s="6" t="s">
        <v>1198</v>
      </c>
      <c r="G2941" s="7" t="str">
        <f aca="false">HYPERLINK(CONCATENATE("http://crfop.gdos.gov.pl/CRFOP/widok/viewuzytekekologiczny.jsf?fop=","PL.ZIPOP.1393.UE.1016092.187"),"(kliknij lub Ctrl+kliknij)")</f>
        <v>(kliknij lub Ctrl+kliknij)</v>
      </c>
      <c r="H2941" s="0" t="s">
        <v>902</v>
      </c>
    </row>
    <row r="2942" customFormat="false" ht="12.8" hidden="false" customHeight="false" outlineLevel="0" collapsed="false">
      <c r="A2942" s="1" t="s">
        <v>1192</v>
      </c>
      <c r="B2942" s="2" t="s">
        <v>1588</v>
      </c>
      <c r="C2942" s="3" t="s">
        <v>574</v>
      </c>
      <c r="D2942" s="4" t="s">
        <v>1223</v>
      </c>
      <c r="F2942" s="6" t="s">
        <v>1198</v>
      </c>
      <c r="G2942" s="7" t="str">
        <f aca="false">HYPERLINK(CONCATENATE("http://crfop.gdos.gov.pl/CRFOP/widok/viewuzytekekologiczny.jsf?fop=","PL.ZIPOP.1393.UE.1016092.188"),"(kliknij lub Ctrl+kliknij)")</f>
        <v>(kliknij lub Ctrl+kliknij)</v>
      </c>
      <c r="H2942" s="0" t="s">
        <v>902</v>
      </c>
    </row>
    <row r="2943" customFormat="false" ht="12.8" hidden="false" customHeight="false" outlineLevel="0" collapsed="false">
      <c r="A2943" s="1" t="s">
        <v>1192</v>
      </c>
      <c r="C2943" s="3" t="s">
        <v>574</v>
      </c>
      <c r="D2943" s="4" t="s">
        <v>1589</v>
      </c>
      <c r="F2943" s="6" t="s">
        <v>1198</v>
      </c>
      <c r="G2943" s="7" t="str">
        <f aca="false">HYPERLINK(CONCATENATE("http://crfop.gdos.gov.pl/CRFOP/widok/viewuzytekekologiczny.jsf?fop=","PL.ZIPOP.1393.UE.1016092.194"),"(kliknij lub Ctrl+kliknij)")</f>
        <v>(kliknij lub Ctrl+kliknij)</v>
      </c>
      <c r="H2943" s="0" t="s">
        <v>902</v>
      </c>
    </row>
    <row r="2944" customFormat="false" ht="12.8" hidden="false" customHeight="false" outlineLevel="0" collapsed="false">
      <c r="A2944" s="1" t="s">
        <v>1192</v>
      </c>
      <c r="C2944" s="3" t="s">
        <v>399</v>
      </c>
      <c r="D2944" s="4" t="s">
        <v>1590</v>
      </c>
      <c r="F2944" s="6" t="s">
        <v>1417</v>
      </c>
      <c r="G2944" s="7" t="str">
        <f aca="false">HYPERLINK(CONCATENATE("http://crfop.gdos.gov.pl/CRFOP/widok/viewuzytekekologiczny.jsf?fop=","PL.ZIPOP.1393.UE.1016092.892"),"(kliknij lub Ctrl+kliknij)")</f>
        <v>(kliknij lub Ctrl+kliknij)</v>
      </c>
      <c r="H2944" s="0" t="s">
        <v>902</v>
      </c>
    </row>
    <row r="2945" customFormat="false" ht="12.8" hidden="false" customHeight="false" outlineLevel="0" collapsed="false">
      <c r="A2945" s="1" t="s">
        <v>1192</v>
      </c>
      <c r="C2945" s="3" t="s">
        <v>574</v>
      </c>
      <c r="D2945" s="4" t="s">
        <v>1358</v>
      </c>
      <c r="F2945" s="6" t="s">
        <v>1198</v>
      </c>
      <c r="G2945" s="7" t="str">
        <f aca="false">HYPERLINK(CONCATENATE("http://crfop.gdos.gov.pl/CRFOP/widok/viewuzytekekologiczny.jsf?fop=","PL.ZIPOP.1393.UE.1016102.196"),"(kliknij lub Ctrl+kliknij)")</f>
        <v>(kliknij lub Ctrl+kliknij)</v>
      </c>
      <c r="H2945" s="0" t="s">
        <v>949</v>
      </c>
    </row>
    <row r="2946" customFormat="false" ht="12.8" hidden="false" customHeight="false" outlineLevel="0" collapsed="false">
      <c r="A2946" s="1" t="s">
        <v>1192</v>
      </c>
      <c r="B2946" s="2" t="s">
        <v>1591</v>
      </c>
      <c r="C2946" s="3" t="s">
        <v>574</v>
      </c>
      <c r="D2946" s="4" t="s">
        <v>1592</v>
      </c>
      <c r="F2946" s="6" t="s">
        <v>1198</v>
      </c>
      <c r="G2946" s="7" t="str">
        <f aca="false">HYPERLINK(CONCATENATE("http://crfop.gdos.gov.pl/CRFOP/widok/viewuzytekekologiczny.jsf?fop=","PL.ZIPOP.1393.UE.1016102.197"),"(kliknij lub Ctrl+kliknij)")</f>
        <v>(kliknij lub Ctrl+kliknij)</v>
      </c>
      <c r="H2946" s="0" t="s">
        <v>949</v>
      </c>
    </row>
    <row r="2947" customFormat="false" ht="12.8" hidden="false" customHeight="false" outlineLevel="0" collapsed="false">
      <c r="A2947" s="1" t="s">
        <v>1192</v>
      </c>
      <c r="B2947" s="2" t="s">
        <v>1593</v>
      </c>
      <c r="C2947" s="3" t="s">
        <v>574</v>
      </c>
      <c r="D2947" s="4" t="s">
        <v>527</v>
      </c>
      <c r="F2947" s="6" t="s">
        <v>1198</v>
      </c>
      <c r="G2947" s="7" t="str">
        <f aca="false">HYPERLINK(CONCATENATE("http://crfop.gdos.gov.pl/CRFOP/widok/viewuzytekekologiczny.jsf?fop=","PL.ZIPOP.1393.UE.1016102.198"),"(kliknij lub Ctrl+kliknij)")</f>
        <v>(kliknij lub Ctrl+kliknij)</v>
      </c>
      <c r="H2947" s="0" t="s">
        <v>949</v>
      </c>
    </row>
    <row r="2948" customFormat="false" ht="12.8" hidden="false" customHeight="false" outlineLevel="0" collapsed="false">
      <c r="A2948" s="1" t="s">
        <v>1192</v>
      </c>
      <c r="C2948" s="3" t="s">
        <v>1379</v>
      </c>
      <c r="D2948" s="4" t="s">
        <v>1594</v>
      </c>
      <c r="F2948" s="6" t="s">
        <v>1380</v>
      </c>
      <c r="G2948" s="7" t="str">
        <f aca="false">HYPERLINK(CONCATENATE("http://crfop.gdos.gov.pl/CRFOP/widok/viewuzytekekologiczny.jsf?fop=","PL.ZIPOP.1393.UE.1017022.748"),"(kliknij lub Ctrl+kliknij)")</f>
        <v>(kliknij lub Ctrl+kliknij)</v>
      </c>
      <c r="H2948" s="0" t="s">
        <v>951</v>
      </c>
    </row>
    <row r="2949" customFormat="false" ht="12.8" hidden="false" customHeight="false" outlineLevel="0" collapsed="false">
      <c r="A2949" s="1" t="s">
        <v>1192</v>
      </c>
      <c r="C2949" s="3" t="s">
        <v>1379</v>
      </c>
      <c r="D2949" s="4" t="s">
        <v>444</v>
      </c>
      <c r="F2949" s="6" t="s">
        <v>1380</v>
      </c>
      <c r="G2949" s="7" t="str">
        <f aca="false">HYPERLINK(CONCATENATE("http://crfop.gdos.gov.pl/CRFOP/widok/viewuzytekekologiczny.jsf?fop=","PL.ZIPOP.1393.UE.1017022.749"),"(kliknij lub Ctrl+kliknij)")</f>
        <v>(kliknij lub Ctrl+kliknij)</v>
      </c>
      <c r="H2949" s="0" t="s">
        <v>951</v>
      </c>
    </row>
    <row r="2950" customFormat="false" ht="12.8" hidden="false" customHeight="false" outlineLevel="0" collapsed="false">
      <c r="A2950" s="1" t="s">
        <v>1192</v>
      </c>
      <c r="C2950" s="3" t="s">
        <v>1379</v>
      </c>
      <c r="D2950" s="4" t="s">
        <v>1364</v>
      </c>
      <c r="F2950" s="6" t="s">
        <v>1380</v>
      </c>
      <c r="G2950" s="7" t="str">
        <f aca="false">HYPERLINK(CONCATENATE("http://crfop.gdos.gov.pl/CRFOP/widok/viewuzytekekologiczny.jsf?fop=","PL.ZIPOP.1393.UE.1017022.750"),"(kliknij lub Ctrl+kliknij)")</f>
        <v>(kliknij lub Ctrl+kliknij)</v>
      </c>
      <c r="H2950" s="0" t="s">
        <v>951</v>
      </c>
    </row>
    <row r="2951" customFormat="false" ht="12.8" hidden="false" customHeight="false" outlineLevel="0" collapsed="false">
      <c r="A2951" s="1" t="s">
        <v>1192</v>
      </c>
      <c r="C2951" s="3" t="s">
        <v>1379</v>
      </c>
      <c r="D2951" s="4" t="s">
        <v>1549</v>
      </c>
      <c r="F2951" s="6" t="s">
        <v>1380</v>
      </c>
      <c r="G2951" s="7" t="str">
        <f aca="false">HYPERLINK(CONCATENATE("http://crfop.gdos.gov.pl/CRFOP/widok/viewuzytekekologiczny.jsf?fop=","PL.ZIPOP.1393.UE.1017022.751"),"(kliknij lub Ctrl+kliknij)")</f>
        <v>(kliknij lub Ctrl+kliknij)</v>
      </c>
      <c r="H2951" s="0" t="s">
        <v>951</v>
      </c>
    </row>
    <row r="2952" customFormat="false" ht="12.8" hidden="false" customHeight="false" outlineLevel="0" collapsed="false">
      <c r="A2952" s="1" t="s">
        <v>1192</v>
      </c>
      <c r="C2952" s="3" t="s">
        <v>1379</v>
      </c>
      <c r="D2952" s="4" t="s">
        <v>1214</v>
      </c>
      <c r="F2952" s="6" t="s">
        <v>1380</v>
      </c>
      <c r="G2952" s="7" t="str">
        <f aca="false">HYPERLINK(CONCATENATE("http://crfop.gdos.gov.pl/CRFOP/widok/viewuzytekekologiczny.jsf?fop=","PL.ZIPOP.1393.UE.1017022.752"),"(kliknij lub Ctrl+kliknij)")</f>
        <v>(kliknij lub Ctrl+kliknij)</v>
      </c>
      <c r="H2952" s="0" t="s">
        <v>951</v>
      </c>
    </row>
    <row r="2953" customFormat="false" ht="12.8" hidden="false" customHeight="false" outlineLevel="0" collapsed="false">
      <c r="A2953" s="1" t="s">
        <v>1192</v>
      </c>
      <c r="C2953" s="3" t="s">
        <v>1379</v>
      </c>
      <c r="D2953" s="4" t="s">
        <v>1424</v>
      </c>
      <c r="F2953" s="6" t="s">
        <v>1380</v>
      </c>
      <c r="G2953" s="7" t="str">
        <f aca="false">HYPERLINK(CONCATENATE("http://crfop.gdos.gov.pl/CRFOP/widok/viewuzytekekologiczny.jsf?fop=","PL.ZIPOP.1393.UE.1017022.753"),"(kliknij lub Ctrl+kliknij)")</f>
        <v>(kliknij lub Ctrl+kliknij)</v>
      </c>
      <c r="H2953" s="0" t="s">
        <v>951</v>
      </c>
    </row>
    <row r="2954" customFormat="false" ht="12.8" hidden="false" customHeight="false" outlineLevel="0" collapsed="false">
      <c r="A2954" s="1" t="s">
        <v>1192</v>
      </c>
      <c r="C2954" s="3" t="s">
        <v>1379</v>
      </c>
      <c r="D2954" s="4" t="s">
        <v>1444</v>
      </c>
      <c r="F2954" s="6" t="s">
        <v>1380</v>
      </c>
      <c r="G2954" s="7" t="str">
        <f aca="false">HYPERLINK(CONCATENATE("http://crfop.gdos.gov.pl/CRFOP/widok/viewuzytekekologiczny.jsf?fop=","PL.ZIPOP.1393.UE.1017022.754"),"(kliknij lub Ctrl+kliknij)")</f>
        <v>(kliknij lub Ctrl+kliknij)</v>
      </c>
      <c r="H2954" s="0" t="s">
        <v>951</v>
      </c>
    </row>
    <row r="2955" customFormat="false" ht="12.8" hidden="false" customHeight="false" outlineLevel="0" collapsed="false">
      <c r="A2955" s="1" t="s">
        <v>1192</v>
      </c>
      <c r="C2955" s="3" t="s">
        <v>1379</v>
      </c>
      <c r="D2955" s="4" t="s">
        <v>1338</v>
      </c>
      <c r="F2955" s="6" t="s">
        <v>1380</v>
      </c>
      <c r="G2955" s="7" t="str">
        <f aca="false">HYPERLINK(CONCATENATE("http://crfop.gdos.gov.pl/CRFOP/widok/viewuzytekekologiczny.jsf?fop=","PL.ZIPOP.1393.UE.1017022.755"),"(kliknij lub Ctrl+kliknij)")</f>
        <v>(kliknij lub Ctrl+kliknij)</v>
      </c>
      <c r="H2955" s="0" t="s">
        <v>951</v>
      </c>
    </row>
    <row r="2956" customFormat="false" ht="12.8" hidden="false" customHeight="false" outlineLevel="0" collapsed="false">
      <c r="A2956" s="1" t="s">
        <v>1192</v>
      </c>
      <c r="C2956" s="3" t="s">
        <v>1379</v>
      </c>
      <c r="D2956" s="4" t="s">
        <v>1246</v>
      </c>
      <c r="F2956" s="6" t="s">
        <v>1380</v>
      </c>
      <c r="G2956" s="7" t="str">
        <f aca="false">HYPERLINK(CONCATENATE("http://crfop.gdos.gov.pl/CRFOP/widok/viewuzytekekologiczny.jsf?fop=","PL.ZIPOP.1393.UE.1017022.756"),"(kliknij lub Ctrl+kliknij)")</f>
        <v>(kliknij lub Ctrl+kliknij)</v>
      </c>
      <c r="H2956" s="0" t="s">
        <v>951</v>
      </c>
    </row>
    <row r="2957" customFormat="false" ht="12.8" hidden="false" customHeight="false" outlineLevel="0" collapsed="false">
      <c r="A2957" s="1" t="s">
        <v>1192</v>
      </c>
      <c r="C2957" s="3" t="s">
        <v>1379</v>
      </c>
      <c r="D2957" s="4" t="s">
        <v>1302</v>
      </c>
      <c r="F2957" s="6" t="s">
        <v>1380</v>
      </c>
      <c r="G2957" s="7" t="str">
        <f aca="false">HYPERLINK(CONCATENATE("http://crfop.gdos.gov.pl/CRFOP/widok/viewuzytekekologiczny.jsf?fop=","PL.ZIPOP.1393.UE.1017022.757"),"(kliknij lub Ctrl+kliknij)")</f>
        <v>(kliknij lub Ctrl+kliknij)</v>
      </c>
      <c r="H2957" s="0" t="s">
        <v>951</v>
      </c>
    </row>
    <row r="2958" customFormat="false" ht="12.8" hidden="false" customHeight="false" outlineLevel="0" collapsed="false">
      <c r="A2958" s="1" t="s">
        <v>1192</v>
      </c>
      <c r="C2958" s="3" t="s">
        <v>1379</v>
      </c>
      <c r="D2958" s="4" t="s">
        <v>1248</v>
      </c>
      <c r="F2958" s="6" t="s">
        <v>1380</v>
      </c>
      <c r="G2958" s="7" t="str">
        <f aca="false">HYPERLINK(CONCATENATE("http://crfop.gdos.gov.pl/CRFOP/widok/viewuzytekekologiczny.jsf?fop=","PL.ZIPOP.1393.UE.1017032.758"),"(kliknij lub Ctrl+kliknij)")</f>
        <v>(kliknij lub Ctrl+kliknij)</v>
      </c>
      <c r="H2958" s="0" t="s">
        <v>952</v>
      </c>
    </row>
    <row r="2959" customFormat="false" ht="12.8" hidden="false" customHeight="false" outlineLevel="0" collapsed="false">
      <c r="A2959" s="1" t="s">
        <v>1192</v>
      </c>
      <c r="C2959" s="3" t="s">
        <v>1379</v>
      </c>
      <c r="D2959" s="4" t="s">
        <v>1595</v>
      </c>
      <c r="F2959" s="6" t="s">
        <v>1380</v>
      </c>
      <c r="G2959" s="7" t="str">
        <f aca="false">HYPERLINK(CONCATENATE("http://crfop.gdos.gov.pl/CRFOP/widok/viewuzytekekologiczny.jsf?fop=","PL.ZIPOP.1393.UE.1017032.759"),"(kliknij lub Ctrl+kliknij)")</f>
        <v>(kliknij lub Ctrl+kliknij)</v>
      </c>
      <c r="H2959" s="0" t="s">
        <v>952</v>
      </c>
    </row>
    <row r="2960" customFormat="false" ht="12.8" hidden="false" customHeight="false" outlineLevel="0" collapsed="false">
      <c r="A2960" s="1" t="s">
        <v>1192</v>
      </c>
      <c r="C2960" s="3" t="s">
        <v>1379</v>
      </c>
      <c r="D2960" s="4" t="s">
        <v>1307</v>
      </c>
      <c r="F2960" s="6" t="s">
        <v>1380</v>
      </c>
      <c r="G2960" s="7" t="str">
        <f aca="false">HYPERLINK(CONCATENATE("http://crfop.gdos.gov.pl/CRFOP/widok/viewuzytekekologiczny.jsf?fop=","PL.ZIPOP.1393.UE.1017032.760"),"(kliknij lub Ctrl+kliknij)")</f>
        <v>(kliknij lub Ctrl+kliknij)</v>
      </c>
      <c r="H2960" s="0" t="s">
        <v>952</v>
      </c>
    </row>
    <row r="2961" customFormat="false" ht="12.8" hidden="false" customHeight="false" outlineLevel="0" collapsed="false">
      <c r="A2961" s="1" t="s">
        <v>1192</v>
      </c>
      <c r="C2961" s="3" t="s">
        <v>1379</v>
      </c>
      <c r="D2961" s="4" t="s">
        <v>1272</v>
      </c>
      <c r="F2961" s="6" t="s">
        <v>1380</v>
      </c>
      <c r="G2961" s="7" t="str">
        <f aca="false">HYPERLINK(CONCATENATE("http://crfop.gdos.gov.pl/CRFOP/widok/viewuzytekekologiczny.jsf?fop=","PL.ZIPOP.1393.UE.1017032.761"),"(kliknij lub Ctrl+kliknij)")</f>
        <v>(kliknij lub Ctrl+kliknij)</v>
      </c>
      <c r="H2961" s="0" t="s">
        <v>952</v>
      </c>
    </row>
    <row r="2962" customFormat="false" ht="12.8" hidden="false" customHeight="false" outlineLevel="0" collapsed="false">
      <c r="A2962" s="1" t="s">
        <v>1192</v>
      </c>
      <c r="B2962" s="2" t="s">
        <v>1596</v>
      </c>
      <c r="C2962" s="3" t="s">
        <v>1379</v>
      </c>
      <c r="D2962" s="4" t="s">
        <v>1356</v>
      </c>
      <c r="F2962" s="6" t="s">
        <v>1380</v>
      </c>
      <c r="G2962" s="7" t="str">
        <f aca="false">HYPERLINK(CONCATENATE("http://crfop.gdos.gov.pl/CRFOP/widok/viewuzytekekologiczny.jsf?fop=","PL.ZIPOP.1393.UE.1017042.763"),"(kliknij lub Ctrl+kliknij)")</f>
        <v>(kliknij lub Ctrl+kliknij)</v>
      </c>
      <c r="H2962" s="0" t="s">
        <v>953</v>
      </c>
    </row>
    <row r="2963" customFormat="false" ht="12.8" hidden="false" customHeight="false" outlineLevel="0" collapsed="false">
      <c r="A2963" s="1" t="s">
        <v>1192</v>
      </c>
      <c r="B2963" s="2" t="s">
        <v>1596</v>
      </c>
      <c r="C2963" s="3" t="s">
        <v>1379</v>
      </c>
      <c r="D2963" s="4" t="s">
        <v>1222</v>
      </c>
      <c r="F2963" s="6" t="s">
        <v>1380</v>
      </c>
      <c r="G2963" s="7" t="str">
        <f aca="false">HYPERLINK(CONCATENATE("http://crfop.gdos.gov.pl/CRFOP/widok/viewuzytekekologiczny.jsf?fop=","PL.ZIPOP.1393.UE.1017042.764"),"(kliknij lub Ctrl+kliknij)")</f>
        <v>(kliknij lub Ctrl+kliknij)</v>
      </c>
      <c r="H2963" s="0" t="s">
        <v>953</v>
      </c>
    </row>
    <row r="2964" customFormat="false" ht="12.8" hidden="false" customHeight="false" outlineLevel="0" collapsed="false">
      <c r="A2964" s="1" t="s">
        <v>1192</v>
      </c>
      <c r="B2964" s="2" t="s">
        <v>1596</v>
      </c>
      <c r="C2964" s="3" t="s">
        <v>1379</v>
      </c>
      <c r="D2964" s="4" t="s">
        <v>1213</v>
      </c>
      <c r="F2964" s="6" t="s">
        <v>1380</v>
      </c>
      <c r="G2964" s="7" t="str">
        <f aca="false">HYPERLINK(CONCATENATE("http://crfop.gdos.gov.pl/CRFOP/widok/viewuzytekekologiczny.jsf?fop=","PL.ZIPOP.1393.UE.1017042.765"),"(kliknij lub Ctrl+kliknij)")</f>
        <v>(kliknij lub Ctrl+kliknij)</v>
      </c>
      <c r="H2964" s="0" t="s">
        <v>953</v>
      </c>
    </row>
    <row r="2965" customFormat="false" ht="12.8" hidden="false" customHeight="false" outlineLevel="0" collapsed="false">
      <c r="A2965" s="1" t="s">
        <v>1192</v>
      </c>
      <c r="C2965" s="3" t="s">
        <v>1289</v>
      </c>
      <c r="D2965" s="4" t="s">
        <v>571</v>
      </c>
      <c r="F2965" s="6" t="s">
        <v>1290</v>
      </c>
      <c r="G2965" s="7" t="str">
        <f aca="false">HYPERLINK(CONCATENATE("http://crfop.gdos.gov.pl/CRFOP/widok/viewuzytekekologiczny.jsf?fop=","PL.ZIPOP.1393.UE.1017052.777"),"(kliknij lub Ctrl+kliknij)")</f>
        <v>(kliknij lub Ctrl+kliknij)</v>
      </c>
      <c r="H2965" s="0" t="s">
        <v>954</v>
      </c>
    </row>
    <row r="2966" customFormat="false" ht="12.8" hidden="false" customHeight="false" outlineLevel="0" collapsed="false">
      <c r="A2966" s="1" t="s">
        <v>1192</v>
      </c>
      <c r="C2966" s="3" t="s">
        <v>1597</v>
      </c>
      <c r="D2966" s="4" t="s">
        <v>1598</v>
      </c>
      <c r="F2966" s="6" t="s">
        <v>1599</v>
      </c>
      <c r="G2966" s="7" t="str">
        <f aca="false">HYPERLINK(CONCATENATE("http://crfop.gdos.gov.pl/CRFOP/widok/viewuzytekekologiczny.jsf?fop=","PL.ZIPOP.1393.UE.1017062.766"),"(kliknij lub Ctrl+kliknij)")</f>
        <v>(kliknij lub Ctrl+kliknij)</v>
      </c>
      <c r="H2966" s="0" t="s">
        <v>957</v>
      </c>
    </row>
    <row r="2967" customFormat="false" ht="12.8" hidden="false" customHeight="false" outlineLevel="0" collapsed="false">
      <c r="A2967" s="1" t="s">
        <v>1192</v>
      </c>
      <c r="C2967" s="3" t="s">
        <v>1597</v>
      </c>
      <c r="D2967" s="4" t="s">
        <v>1600</v>
      </c>
      <c r="F2967" s="6" t="s">
        <v>1599</v>
      </c>
      <c r="G2967" s="7" t="str">
        <f aca="false">HYPERLINK(CONCATENATE("http://crfop.gdos.gov.pl/CRFOP/widok/viewuzytekekologiczny.jsf?fop=","PL.ZIPOP.1393.UE.1017062.767"),"(kliknij lub Ctrl+kliknij)")</f>
        <v>(kliknij lub Ctrl+kliknij)</v>
      </c>
      <c r="H2967" s="0" t="s">
        <v>957</v>
      </c>
    </row>
    <row r="2968" customFormat="false" ht="12.8" hidden="false" customHeight="false" outlineLevel="0" collapsed="false">
      <c r="A2968" s="1" t="s">
        <v>1192</v>
      </c>
      <c r="C2968" s="3" t="s">
        <v>1597</v>
      </c>
      <c r="D2968" s="4" t="s">
        <v>448</v>
      </c>
      <c r="F2968" s="6" t="s">
        <v>1599</v>
      </c>
      <c r="G2968" s="7" t="str">
        <f aca="false">HYPERLINK(CONCATENATE("http://crfop.gdos.gov.pl/CRFOP/widok/viewuzytekekologiczny.jsf?fop=","PL.ZIPOP.1393.UE.1017062.768"),"(kliknij lub Ctrl+kliknij)")</f>
        <v>(kliknij lub Ctrl+kliknij)</v>
      </c>
      <c r="H2968" s="0" t="s">
        <v>957</v>
      </c>
    </row>
    <row r="2969" customFormat="false" ht="12.8" hidden="false" customHeight="false" outlineLevel="0" collapsed="false">
      <c r="A2969" s="1" t="s">
        <v>1192</v>
      </c>
      <c r="C2969" s="3" t="s">
        <v>1379</v>
      </c>
      <c r="D2969" s="4" t="s">
        <v>1358</v>
      </c>
      <c r="F2969" s="6" t="s">
        <v>1380</v>
      </c>
      <c r="G2969" s="7" t="str">
        <f aca="false">HYPERLINK(CONCATENATE("http://crfop.gdos.gov.pl/CRFOP/widok/viewuzytekekologiczny.jsf?fop=","PL.ZIPOP.1393.UE.1017062.769"),"(kliknij lub Ctrl+kliknij)")</f>
        <v>(kliknij lub Ctrl+kliknij)</v>
      </c>
      <c r="H2969" s="0" t="s">
        <v>957</v>
      </c>
    </row>
    <row r="2970" customFormat="false" ht="12.8" hidden="false" customHeight="false" outlineLevel="0" collapsed="false">
      <c r="A2970" s="1" t="s">
        <v>1192</v>
      </c>
      <c r="C2970" s="3" t="s">
        <v>1379</v>
      </c>
      <c r="D2970" s="4" t="s">
        <v>1407</v>
      </c>
      <c r="F2970" s="6" t="s">
        <v>1380</v>
      </c>
      <c r="G2970" s="7" t="str">
        <f aca="false">HYPERLINK(CONCATENATE("http://crfop.gdos.gov.pl/CRFOP/widok/viewuzytekekologiczny.jsf?fop=","PL.ZIPOP.1393.UE.1017062.770"),"(kliknij lub Ctrl+kliknij)")</f>
        <v>(kliknij lub Ctrl+kliknij)</v>
      </c>
      <c r="H2970" s="0" t="s">
        <v>957</v>
      </c>
    </row>
    <row r="2971" customFormat="false" ht="12.8" hidden="false" customHeight="false" outlineLevel="0" collapsed="false">
      <c r="A2971" s="1" t="s">
        <v>1192</v>
      </c>
      <c r="C2971" s="3" t="s">
        <v>1379</v>
      </c>
      <c r="D2971" s="4" t="s">
        <v>1235</v>
      </c>
      <c r="F2971" s="6" t="s">
        <v>1380</v>
      </c>
      <c r="G2971" s="7" t="str">
        <f aca="false">HYPERLINK(CONCATENATE("http://crfop.gdos.gov.pl/CRFOP/widok/viewuzytekekologiczny.jsf?fop=","PL.ZIPOP.1393.UE.1017062.771"),"(kliknij lub Ctrl+kliknij)")</f>
        <v>(kliknij lub Ctrl+kliknij)</v>
      </c>
      <c r="H2971" s="0" t="s">
        <v>957</v>
      </c>
    </row>
    <row r="2972" customFormat="false" ht="12.8" hidden="false" customHeight="false" outlineLevel="0" collapsed="false">
      <c r="A2972" s="1" t="s">
        <v>1192</v>
      </c>
      <c r="C2972" s="3" t="s">
        <v>1379</v>
      </c>
      <c r="D2972" s="4" t="s">
        <v>1415</v>
      </c>
      <c r="F2972" s="6" t="s">
        <v>1380</v>
      </c>
      <c r="G2972" s="7" t="str">
        <f aca="false">HYPERLINK(CONCATENATE("http://crfop.gdos.gov.pl/CRFOP/widok/viewuzytekekologiczny.jsf?fop=","PL.ZIPOP.1393.UE.1017062.772"),"(kliknij lub Ctrl+kliknij)")</f>
        <v>(kliknij lub Ctrl+kliknij)</v>
      </c>
      <c r="H2972" s="0" t="s">
        <v>957</v>
      </c>
    </row>
    <row r="2973" customFormat="false" ht="12.8" hidden="false" customHeight="false" outlineLevel="0" collapsed="false">
      <c r="A2973" s="1" t="s">
        <v>1192</v>
      </c>
      <c r="C2973" s="3" t="s">
        <v>1379</v>
      </c>
      <c r="D2973" s="4" t="s">
        <v>1272</v>
      </c>
      <c r="F2973" s="6" t="s">
        <v>1380</v>
      </c>
      <c r="G2973" s="7" t="str">
        <f aca="false">HYPERLINK(CONCATENATE("http://crfop.gdos.gov.pl/CRFOP/widok/viewuzytekekologiczny.jsf?fop=","PL.ZIPOP.1393.UE.1017062.773"),"(kliknij lub Ctrl+kliknij)")</f>
        <v>(kliknij lub Ctrl+kliknij)</v>
      </c>
      <c r="H2973" s="0" t="s">
        <v>957</v>
      </c>
    </row>
    <row r="2974" customFormat="false" ht="12.8" hidden="false" customHeight="false" outlineLevel="0" collapsed="false">
      <c r="A2974" s="1" t="s">
        <v>1192</v>
      </c>
      <c r="C2974" s="3" t="s">
        <v>1379</v>
      </c>
      <c r="D2974" s="4" t="s">
        <v>1392</v>
      </c>
      <c r="F2974" s="6" t="s">
        <v>1380</v>
      </c>
      <c r="G2974" s="7" t="str">
        <f aca="false">HYPERLINK(CONCATENATE("http://crfop.gdos.gov.pl/CRFOP/widok/viewuzytekekologiczny.jsf?fop=","PL.ZIPOP.1393.UE.1017062.774"),"(kliknij lub Ctrl+kliknij)")</f>
        <v>(kliknij lub Ctrl+kliknij)</v>
      </c>
      <c r="H2974" s="0" t="s">
        <v>957</v>
      </c>
    </row>
    <row r="2975" customFormat="false" ht="12.8" hidden="false" customHeight="false" outlineLevel="0" collapsed="false">
      <c r="A2975" s="1" t="s">
        <v>1192</v>
      </c>
      <c r="C2975" s="3" t="s">
        <v>1379</v>
      </c>
      <c r="D2975" s="4" t="s">
        <v>1601</v>
      </c>
      <c r="F2975" s="6" t="s">
        <v>1380</v>
      </c>
      <c r="G2975" s="7" t="str">
        <f aca="false">HYPERLINK(CONCATENATE("http://crfop.gdos.gov.pl/CRFOP/widok/viewuzytekekologiczny.jsf?fop=","PL.ZIPOP.1393.UE.1017062.775"),"(kliknij lub Ctrl+kliknij)")</f>
        <v>(kliknij lub Ctrl+kliknij)</v>
      </c>
      <c r="H2975" s="0" t="s">
        <v>957</v>
      </c>
    </row>
    <row r="2976" customFormat="false" ht="12.8" hidden="false" customHeight="false" outlineLevel="0" collapsed="false">
      <c r="A2976" s="1" t="s">
        <v>1192</v>
      </c>
      <c r="C2976" s="3" t="s">
        <v>1379</v>
      </c>
      <c r="D2976" s="4" t="s">
        <v>444</v>
      </c>
      <c r="F2976" s="6" t="s">
        <v>1380</v>
      </c>
      <c r="G2976" s="7" t="str">
        <f aca="false">HYPERLINK(CONCATENATE("http://crfop.gdos.gov.pl/CRFOP/widok/viewuzytekekologiczny.jsf?fop=","PL.ZIPOP.1393.UE.1017062.776"),"(kliknij lub Ctrl+kliknij)")</f>
        <v>(kliknij lub Ctrl+kliknij)</v>
      </c>
      <c r="H2976" s="0" t="s">
        <v>957</v>
      </c>
    </row>
    <row r="2977" customFormat="false" ht="12.8" hidden="false" customHeight="false" outlineLevel="0" collapsed="false">
      <c r="A2977" s="1" t="s">
        <v>1192</v>
      </c>
      <c r="C2977" s="3" t="s">
        <v>1379</v>
      </c>
      <c r="D2977" s="4" t="s">
        <v>1253</v>
      </c>
      <c r="F2977" s="6" t="s">
        <v>1380</v>
      </c>
      <c r="G2977" s="7" t="str">
        <f aca="false">HYPERLINK(CONCATENATE("http://crfop.gdos.gov.pl/CRFOP/widok/viewuzytekekologiczny.jsf?fop=","PL.ZIPOP.1393.UE.1017072.780"),"(kliknij lub Ctrl+kliknij)")</f>
        <v>(kliknij lub Ctrl+kliknij)</v>
      </c>
      <c r="H2977" s="0" t="s">
        <v>958</v>
      </c>
    </row>
    <row r="2978" customFormat="false" ht="12.8" hidden="false" customHeight="false" outlineLevel="0" collapsed="false">
      <c r="A2978" s="1" t="s">
        <v>1192</v>
      </c>
      <c r="C2978" s="3" t="s">
        <v>1379</v>
      </c>
      <c r="D2978" s="4" t="s">
        <v>1602</v>
      </c>
      <c r="F2978" s="6" t="s">
        <v>1380</v>
      </c>
      <c r="G2978" s="7" t="str">
        <f aca="false">HYPERLINK(CONCATENATE("http://crfop.gdos.gov.pl/CRFOP/widok/viewuzytekekologiczny.jsf?fop=","PL.ZIPOP.1393.UE.1017072.781"),"(kliknij lub Ctrl+kliknij)")</f>
        <v>(kliknij lub Ctrl+kliknij)</v>
      </c>
      <c r="H2978" s="0" t="s">
        <v>958</v>
      </c>
    </row>
    <row r="2979" customFormat="false" ht="12.8" hidden="false" customHeight="false" outlineLevel="0" collapsed="false">
      <c r="A2979" s="1" t="s">
        <v>1192</v>
      </c>
      <c r="C2979" s="3" t="s">
        <v>1379</v>
      </c>
      <c r="D2979" s="4" t="s">
        <v>1364</v>
      </c>
      <c r="F2979" s="6" t="s">
        <v>1380</v>
      </c>
      <c r="G2979" s="7" t="str">
        <f aca="false">HYPERLINK(CONCATENATE("http://crfop.gdos.gov.pl/CRFOP/widok/viewuzytekekologiczny.jsf?fop=","PL.ZIPOP.1393.UE.1017072.782"),"(kliknij lub Ctrl+kliknij)")</f>
        <v>(kliknij lub Ctrl+kliknij)</v>
      </c>
      <c r="H2979" s="0" t="s">
        <v>958</v>
      </c>
    </row>
    <row r="2980" customFormat="false" ht="12.8" hidden="false" customHeight="false" outlineLevel="0" collapsed="false">
      <c r="A2980" s="1" t="s">
        <v>1192</v>
      </c>
      <c r="C2980" s="3" t="s">
        <v>1379</v>
      </c>
      <c r="D2980" s="4" t="s">
        <v>1239</v>
      </c>
      <c r="F2980" s="6" t="s">
        <v>1380</v>
      </c>
      <c r="G2980" s="7" t="str">
        <f aca="false">HYPERLINK(CONCATENATE("http://crfop.gdos.gov.pl/CRFOP/widok/viewuzytekekologiczny.jsf?fop=","PL.ZIPOP.1393.UE.1017072.783"),"(kliknij lub Ctrl+kliknij)")</f>
        <v>(kliknij lub Ctrl+kliknij)</v>
      </c>
      <c r="H2980" s="0" t="s">
        <v>958</v>
      </c>
    </row>
    <row r="2981" customFormat="false" ht="12.8" hidden="false" customHeight="false" outlineLevel="0" collapsed="false">
      <c r="A2981" s="1" t="s">
        <v>1192</v>
      </c>
      <c r="C2981" s="3" t="s">
        <v>1379</v>
      </c>
      <c r="D2981" s="4" t="s">
        <v>1398</v>
      </c>
      <c r="F2981" s="6" t="s">
        <v>1380</v>
      </c>
      <c r="G2981" s="7" t="str">
        <f aca="false">HYPERLINK(CONCATENATE("http://crfop.gdos.gov.pl/CRFOP/widok/viewuzytekekologiczny.jsf?fop=","PL.ZIPOP.1393.UE.1017072.784"),"(kliknij lub Ctrl+kliknij)")</f>
        <v>(kliknij lub Ctrl+kliknij)</v>
      </c>
      <c r="H2981" s="0" t="s">
        <v>958</v>
      </c>
    </row>
    <row r="2982" customFormat="false" ht="12.8" hidden="false" customHeight="false" outlineLevel="0" collapsed="false">
      <c r="A2982" s="1" t="s">
        <v>1192</v>
      </c>
      <c r="C2982" s="3" t="s">
        <v>1379</v>
      </c>
      <c r="D2982" s="4" t="s">
        <v>1527</v>
      </c>
      <c r="F2982" s="6" t="s">
        <v>1380</v>
      </c>
      <c r="G2982" s="7" t="str">
        <f aca="false">HYPERLINK(CONCATENATE("http://crfop.gdos.gov.pl/CRFOP/widok/viewuzytekekologiczny.jsf?fop=","PL.ZIPOP.1393.UE.1017072.785"),"(kliknij lub Ctrl+kliknij)")</f>
        <v>(kliknij lub Ctrl+kliknij)</v>
      </c>
      <c r="H2982" s="0" t="s">
        <v>958</v>
      </c>
    </row>
    <row r="2983" customFormat="false" ht="12.8" hidden="false" customHeight="false" outlineLevel="0" collapsed="false">
      <c r="A2983" s="1" t="s">
        <v>1192</v>
      </c>
      <c r="C2983" s="3" t="s">
        <v>1379</v>
      </c>
      <c r="D2983" s="4" t="s">
        <v>1603</v>
      </c>
      <c r="F2983" s="6" t="s">
        <v>1380</v>
      </c>
      <c r="G2983" s="7" t="str">
        <f aca="false">HYPERLINK(CONCATENATE("http://crfop.gdos.gov.pl/CRFOP/widok/viewuzytekekologiczny.jsf?fop=","PL.ZIPOP.1393.UE.1017072.786"),"(kliknij lub Ctrl+kliknij)")</f>
        <v>(kliknij lub Ctrl+kliknij)</v>
      </c>
      <c r="H2983" s="0" t="s">
        <v>958</v>
      </c>
    </row>
    <row r="2984" customFormat="false" ht="12.8" hidden="false" customHeight="false" outlineLevel="0" collapsed="false">
      <c r="A2984" s="1" t="s">
        <v>1192</v>
      </c>
      <c r="C2984" s="3" t="s">
        <v>1379</v>
      </c>
      <c r="D2984" s="4" t="s">
        <v>1565</v>
      </c>
      <c r="F2984" s="6" t="s">
        <v>1380</v>
      </c>
      <c r="G2984" s="7" t="str">
        <f aca="false">HYPERLINK(CONCATENATE("http://crfop.gdos.gov.pl/CRFOP/widok/viewuzytekekologiczny.jsf?fop=","PL.ZIPOP.1393.UE.1017072.787"),"(kliknij lub Ctrl+kliknij)")</f>
        <v>(kliknij lub Ctrl+kliknij)</v>
      </c>
      <c r="H2984" s="0" t="s">
        <v>958</v>
      </c>
    </row>
    <row r="2985" customFormat="false" ht="12.8" hidden="false" customHeight="false" outlineLevel="0" collapsed="false">
      <c r="A2985" s="1" t="s">
        <v>1192</v>
      </c>
      <c r="C2985" s="3" t="s">
        <v>1379</v>
      </c>
      <c r="D2985" s="4" t="s">
        <v>1604</v>
      </c>
      <c r="F2985" s="6" t="s">
        <v>1380</v>
      </c>
      <c r="G2985" s="7" t="str">
        <f aca="false">HYPERLINK(CONCATENATE("http://crfop.gdos.gov.pl/CRFOP/widok/viewuzytekekologiczny.jsf?fop=","PL.ZIPOP.1393.UE.1017072.788"),"(kliknij lub Ctrl+kliknij)")</f>
        <v>(kliknij lub Ctrl+kliknij)</v>
      </c>
      <c r="H2985" s="0" t="s">
        <v>958</v>
      </c>
    </row>
    <row r="2986" customFormat="false" ht="12.8" hidden="false" customHeight="false" outlineLevel="0" collapsed="false">
      <c r="A2986" s="1" t="s">
        <v>1192</v>
      </c>
      <c r="C2986" s="3" t="s">
        <v>1379</v>
      </c>
      <c r="D2986" s="4" t="s">
        <v>1201</v>
      </c>
      <c r="F2986" s="6" t="s">
        <v>1380</v>
      </c>
      <c r="G2986" s="7" t="str">
        <f aca="false">HYPERLINK(CONCATENATE("http://crfop.gdos.gov.pl/CRFOP/widok/viewuzytekekologiczny.jsf?fop=","PL.ZIPOP.1393.UE.1017072.789"),"(kliknij lub Ctrl+kliknij)")</f>
        <v>(kliknij lub Ctrl+kliknij)</v>
      </c>
      <c r="H2986" s="0" t="s">
        <v>958</v>
      </c>
    </row>
    <row r="2987" customFormat="false" ht="12.8" hidden="false" customHeight="false" outlineLevel="0" collapsed="false">
      <c r="A2987" s="1" t="s">
        <v>1192</v>
      </c>
      <c r="C2987" s="3" t="s">
        <v>1379</v>
      </c>
      <c r="D2987" s="4" t="s">
        <v>1225</v>
      </c>
      <c r="F2987" s="6" t="s">
        <v>1380</v>
      </c>
      <c r="G2987" s="7" t="str">
        <f aca="false">HYPERLINK(CONCATENATE("http://crfop.gdos.gov.pl/CRFOP/widok/viewuzytekekologiczny.jsf?fop=","PL.ZIPOP.1393.UE.1017072.790"),"(kliknij lub Ctrl+kliknij)")</f>
        <v>(kliknij lub Ctrl+kliknij)</v>
      </c>
      <c r="H2987" s="0" t="s">
        <v>958</v>
      </c>
    </row>
    <row r="2988" customFormat="false" ht="12.8" hidden="false" customHeight="false" outlineLevel="0" collapsed="false">
      <c r="A2988" s="1" t="s">
        <v>1192</v>
      </c>
      <c r="C2988" s="3" t="s">
        <v>1379</v>
      </c>
      <c r="D2988" s="4" t="s">
        <v>1300</v>
      </c>
      <c r="F2988" s="6" t="s">
        <v>1380</v>
      </c>
      <c r="G2988" s="7" t="str">
        <f aca="false">HYPERLINK(CONCATENATE("http://crfop.gdos.gov.pl/CRFOP/widok/viewuzytekekologiczny.jsf?fop=","PL.ZIPOP.1393.UE.1017072.791"),"(kliknij lub Ctrl+kliknij)")</f>
        <v>(kliknij lub Ctrl+kliknij)</v>
      </c>
      <c r="H2988" s="0" t="s">
        <v>958</v>
      </c>
    </row>
    <row r="2989" customFormat="false" ht="12.8" hidden="false" customHeight="false" outlineLevel="0" collapsed="false">
      <c r="A2989" s="1" t="s">
        <v>1192</v>
      </c>
      <c r="C2989" s="3" t="s">
        <v>1379</v>
      </c>
      <c r="D2989" s="4" t="s">
        <v>1253</v>
      </c>
      <c r="F2989" s="6" t="s">
        <v>1380</v>
      </c>
      <c r="G2989" s="7" t="str">
        <f aca="false">HYPERLINK(CONCATENATE("http://crfop.gdos.gov.pl/CRFOP/widok/viewuzytekekologiczny.jsf?fop=","PL.ZIPOP.1393.UE.1017072.792"),"(kliknij lub Ctrl+kliknij)")</f>
        <v>(kliknij lub Ctrl+kliknij)</v>
      </c>
      <c r="H2989" s="0" t="s">
        <v>958</v>
      </c>
    </row>
    <row r="2990" customFormat="false" ht="12.8" hidden="false" customHeight="false" outlineLevel="0" collapsed="false">
      <c r="A2990" s="1" t="s">
        <v>1192</v>
      </c>
      <c r="C2990" s="3" t="s">
        <v>1379</v>
      </c>
      <c r="D2990" s="4" t="s">
        <v>1358</v>
      </c>
      <c r="F2990" s="6" t="s">
        <v>1380</v>
      </c>
      <c r="G2990" s="7" t="str">
        <f aca="false">HYPERLINK(CONCATENATE("http://crfop.gdos.gov.pl/CRFOP/widok/viewuzytekekologiczny.jsf?fop=","PL.ZIPOP.1393.UE.1017072.802"),"(kliknij lub Ctrl+kliknij)")</f>
        <v>(kliknij lub Ctrl+kliknij)</v>
      </c>
      <c r="H2990" s="0" t="s">
        <v>958</v>
      </c>
    </row>
    <row r="2991" customFormat="false" ht="12.8" hidden="false" customHeight="false" outlineLevel="0" collapsed="false">
      <c r="A2991" s="1" t="s">
        <v>1192</v>
      </c>
      <c r="C2991" s="3" t="s">
        <v>1379</v>
      </c>
      <c r="D2991" s="4" t="s">
        <v>1605</v>
      </c>
      <c r="F2991" s="6" t="s">
        <v>1380</v>
      </c>
      <c r="G2991" s="7" t="str">
        <f aca="false">HYPERLINK(CONCATENATE("http://crfop.gdos.gov.pl/CRFOP/widok/viewuzytekekologiczny.jsf?fop=","PL.ZIPOP.1393.UE.1017082.793"),"(kliknij lub Ctrl+kliknij)")</f>
        <v>(kliknij lub Ctrl+kliknij)</v>
      </c>
      <c r="H2991" s="0" t="s">
        <v>959</v>
      </c>
    </row>
    <row r="2992" customFormat="false" ht="12.8" hidden="false" customHeight="false" outlineLevel="0" collapsed="false">
      <c r="A2992" s="1" t="s">
        <v>1192</v>
      </c>
      <c r="C2992" s="3" t="s">
        <v>1379</v>
      </c>
      <c r="D2992" s="4" t="s">
        <v>1606</v>
      </c>
      <c r="F2992" s="6" t="s">
        <v>1380</v>
      </c>
      <c r="G2992" s="7" t="str">
        <f aca="false">HYPERLINK(CONCATENATE("http://crfop.gdos.gov.pl/CRFOP/widok/viewuzytekekologiczny.jsf?fop=","PL.ZIPOP.1393.UE.1017082.794"),"(kliknij lub Ctrl+kliknij)")</f>
        <v>(kliknij lub Ctrl+kliknij)</v>
      </c>
      <c r="H2992" s="0" t="s">
        <v>959</v>
      </c>
    </row>
    <row r="2993" customFormat="false" ht="12.8" hidden="false" customHeight="false" outlineLevel="0" collapsed="false">
      <c r="A2993" s="1" t="s">
        <v>1192</v>
      </c>
      <c r="C2993" s="3" t="s">
        <v>1379</v>
      </c>
      <c r="D2993" s="4" t="s">
        <v>1225</v>
      </c>
      <c r="F2993" s="6" t="s">
        <v>1380</v>
      </c>
      <c r="G2993" s="7" t="str">
        <f aca="false">HYPERLINK(CONCATENATE("http://crfop.gdos.gov.pl/CRFOP/widok/viewuzytekekologiczny.jsf?fop=","PL.ZIPOP.1393.UE.1017093.795"),"(kliknij lub Ctrl+kliknij)")</f>
        <v>(kliknij lub Ctrl+kliknij)</v>
      </c>
      <c r="H2993" s="0" t="s">
        <v>960</v>
      </c>
    </row>
    <row r="2994" customFormat="false" ht="12.8" hidden="false" customHeight="false" outlineLevel="0" collapsed="false">
      <c r="A2994" s="1" t="s">
        <v>1192</v>
      </c>
      <c r="C2994" s="3" t="s">
        <v>1379</v>
      </c>
      <c r="D2994" s="4" t="s">
        <v>1341</v>
      </c>
      <c r="F2994" s="6" t="s">
        <v>1380</v>
      </c>
      <c r="G2994" s="7" t="str">
        <f aca="false">HYPERLINK(CONCATENATE("http://crfop.gdos.gov.pl/CRFOP/widok/viewuzytekekologiczny.jsf?fop=","PL.ZIPOP.1393.UE.1017093.796"),"(kliknij lub Ctrl+kliknij)")</f>
        <v>(kliknij lub Ctrl+kliknij)</v>
      </c>
      <c r="H2994" s="0" t="s">
        <v>960</v>
      </c>
    </row>
    <row r="2995" customFormat="false" ht="12.8" hidden="false" customHeight="false" outlineLevel="0" collapsed="false">
      <c r="A2995" s="1" t="s">
        <v>1192</v>
      </c>
      <c r="C2995" s="3" t="s">
        <v>1379</v>
      </c>
      <c r="D2995" s="4" t="s">
        <v>1389</v>
      </c>
      <c r="F2995" s="6" t="s">
        <v>1380</v>
      </c>
      <c r="G2995" s="7" t="str">
        <f aca="false">HYPERLINK(CONCATENATE("http://crfop.gdos.gov.pl/CRFOP/widok/viewuzytekekologiczny.jsf?fop=","PL.ZIPOP.1393.UE.1017093.797"),"(kliknij lub Ctrl+kliknij)")</f>
        <v>(kliknij lub Ctrl+kliknij)</v>
      </c>
      <c r="H2995" s="0" t="s">
        <v>960</v>
      </c>
    </row>
    <row r="2996" customFormat="false" ht="12.8" hidden="false" customHeight="false" outlineLevel="0" collapsed="false">
      <c r="A2996" s="1" t="s">
        <v>1192</v>
      </c>
      <c r="C2996" s="3" t="s">
        <v>1379</v>
      </c>
      <c r="D2996" s="4" t="s">
        <v>1240</v>
      </c>
      <c r="F2996" s="6" t="s">
        <v>1380</v>
      </c>
      <c r="G2996" s="7" t="str">
        <f aca="false">HYPERLINK(CONCATENATE("http://crfop.gdos.gov.pl/CRFOP/widok/viewuzytekekologiczny.jsf?fop=","PL.ZIPOP.1393.UE.1017093.798"),"(kliknij lub Ctrl+kliknij)")</f>
        <v>(kliknij lub Ctrl+kliknij)</v>
      </c>
      <c r="H2996" s="0" t="s">
        <v>960</v>
      </c>
    </row>
    <row r="2997" customFormat="false" ht="12.8" hidden="false" customHeight="false" outlineLevel="0" collapsed="false">
      <c r="A2997" s="1" t="s">
        <v>1192</v>
      </c>
      <c r="C2997" s="3" t="s">
        <v>1379</v>
      </c>
      <c r="D2997" s="4" t="s">
        <v>1341</v>
      </c>
      <c r="F2997" s="6" t="s">
        <v>1380</v>
      </c>
      <c r="G2997" s="7" t="str">
        <f aca="false">HYPERLINK(CONCATENATE("http://crfop.gdos.gov.pl/CRFOP/widok/viewuzytekekologiczny.jsf?fop=","PL.ZIPOP.1393.UE.1017093.799"),"(kliknij lub Ctrl+kliknij)")</f>
        <v>(kliknij lub Ctrl+kliknij)</v>
      </c>
      <c r="H2997" s="0" t="s">
        <v>960</v>
      </c>
    </row>
    <row r="2998" customFormat="false" ht="12.8" hidden="false" customHeight="false" outlineLevel="0" collapsed="false">
      <c r="A2998" s="1" t="s">
        <v>1192</v>
      </c>
      <c r="C2998" s="3" t="s">
        <v>1379</v>
      </c>
      <c r="D2998" s="4" t="s">
        <v>444</v>
      </c>
      <c r="F2998" s="6" t="s">
        <v>1380</v>
      </c>
      <c r="G2998" s="7" t="str">
        <f aca="false">HYPERLINK(CONCATENATE("http://crfop.gdos.gov.pl/CRFOP/widok/viewuzytekekologiczny.jsf?fop=","PL.ZIPOP.1393.UE.1017093.800"),"(kliknij lub Ctrl+kliknij)")</f>
        <v>(kliknij lub Ctrl+kliknij)</v>
      </c>
      <c r="H2998" s="0" t="s">
        <v>960</v>
      </c>
    </row>
    <row r="2999" customFormat="false" ht="12.8" hidden="false" customHeight="false" outlineLevel="0" collapsed="false">
      <c r="A2999" s="1" t="s">
        <v>1192</v>
      </c>
      <c r="C2999" s="3" t="s">
        <v>1379</v>
      </c>
      <c r="D2999" s="4" t="s">
        <v>1229</v>
      </c>
      <c r="F2999" s="6" t="s">
        <v>1380</v>
      </c>
      <c r="G2999" s="7" t="str">
        <f aca="false">HYPERLINK(CONCATENATE("http://crfop.gdos.gov.pl/CRFOP/widok/viewuzytekekologiczny.jsf?fop=","PL.ZIPOP.1393.UE.1017093.801"),"(kliknij lub Ctrl+kliknij)")</f>
        <v>(kliknij lub Ctrl+kliknij)</v>
      </c>
      <c r="H2999" s="0" t="s">
        <v>960</v>
      </c>
    </row>
    <row r="3000" customFormat="false" ht="12.8" hidden="false" customHeight="false" outlineLevel="0" collapsed="false">
      <c r="A3000" s="1" t="s">
        <v>1192</v>
      </c>
      <c r="C3000" s="3" t="s">
        <v>1379</v>
      </c>
      <c r="D3000" s="4" t="s">
        <v>1362</v>
      </c>
      <c r="F3000" s="6" t="s">
        <v>1380</v>
      </c>
      <c r="G3000" s="7" t="str">
        <f aca="false">HYPERLINK(CONCATENATE("http://crfop.gdos.gov.pl/CRFOP/widok/viewuzytekekologiczny.jsf?fop=","PL.ZIPOP.1393.UE.1017093.803"),"(kliknij lub Ctrl+kliknij)")</f>
        <v>(kliknij lub Ctrl+kliknij)</v>
      </c>
      <c r="H3000" s="0" t="s">
        <v>960</v>
      </c>
    </row>
    <row r="3001" customFormat="false" ht="12.8" hidden="false" customHeight="false" outlineLevel="0" collapsed="false">
      <c r="A3001" s="1" t="s">
        <v>1192</v>
      </c>
      <c r="B3001" s="2" t="s">
        <v>1607</v>
      </c>
      <c r="C3001" s="3" t="s">
        <v>1597</v>
      </c>
      <c r="D3001" s="4" t="s">
        <v>1608</v>
      </c>
      <c r="F3001" s="6" t="s">
        <v>1599</v>
      </c>
      <c r="G3001" s="7" t="str">
        <f aca="false">HYPERLINK(CONCATENATE("http://crfop.gdos.gov.pl/CRFOP/widok/viewuzytekekologiczny.jsf?fop=","PL.ZIPOP.1393.UE.1017102.779"),"(kliknij lub Ctrl+kliknij)")</f>
        <v>(kliknij lub Ctrl+kliknij)</v>
      </c>
      <c r="H3001" s="0" t="s">
        <v>963</v>
      </c>
    </row>
    <row r="3002" customFormat="false" ht="12.8" hidden="false" customHeight="false" outlineLevel="0" collapsed="false">
      <c r="A3002" s="1" t="s">
        <v>1192</v>
      </c>
      <c r="C3002" s="3" t="s">
        <v>1379</v>
      </c>
      <c r="D3002" s="4" t="s">
        <v>1201</v>
      </c>
      <c r="F3002" s="6" t="s">
        <v>1380</v>
      </c>
      <c r="G3002" s="7" t="str">
        <f aca="false">HYPERLINK(CONCATENATE("http://crfop.gdos.gov.pl/CRFOP/widok/viewuzytekekologiczny.jsf?fop=","PL.ZIPOP.1393.UE.1017102.805"),"(kliknij lub Ctrl+kliknij)")</f>
        <v>(kliknij lub Ctrl+kliknij)</v>
      </c>
      <c r="H3002" s="0" t="s">
        <v>963</v>
      </c>
    </row>
    <row r="3003" customFormat="false" ht="12.8" hidden="false" customHeight="false" outlineLevel="0" collapsed="false">
      <c r="A3003" s="1" t="s">
        <v>1192</v>
      </c>
      <c r="C3003" s="3" t="s">
        <v>1062</v>
      </c>
      <c r="D3003" s="4" t="s">
        <v>1609</v>
      </c>
      <c r="F3003" s="6" t="s">
        <v>1610</v>
      </c>
      <c r="G3003" s="7" t="str">
        <f aca="false">HYPERLINK(CONCATENATE("http://crfop.gdos.gov.pl/CRFOP/widok/viewuzytekekologiczny.jsf?fop=","PL.ZIPOP.1393.UE.1018012.850"),"(kliknij lub Ctrl+kliknij)")</f>
        <v>(kliknij lub Ctrl+kliknij)</v>
      </c>
      <c r="H3003" s="0" t="s">
        <v>1611</v>
      </c>
    </row>
    <row r="3004" customFormat="false" ht="12.8" hidden="false" customHeight="false" outlineLevel="0" collapsed="false">
      <c r="A3004" s="1" t="s">
        <v>1192</v>
      </c>
      <c r="C3004" s="3" t="s">
        <v>1612</v>
      </c>
      <c r="D3004" s="4" t="s">
        <v>1613</v>
      </c>
      <c r="F3004" s="6" t="s">
        <v>1614</v>
      </c>
      <c r="G3004" s="7" t="str">
        <f aca="false">HYPERLINK(CONCATENATE("http://crfop.gdos.gov.pl/CRFOP/widok/viewuzytekekologiczny.jsf?fop=","PL.ZIPOP.1393.UE.1018042.871"),"(kliknij lub Ctrl+kliknij)")</f>
        <v>(kliknij lub Ctrl+kliknij)</v>
      </c>
    </row>
    <row r="3005" customFormat="false" ht="12.8" hidden="false" customHeight="false" outlineLevel="0" collapsed="false">
      <c r="A3005" s="1" t="s">
        <v>1192</v>
      </c>
      <c r="C3005" s="3" t="s">
        <v>1242</v>
      </c>
      <c r="D3005" s="4" t="s">
        <v>1615</v>
      </c>
      <c r="F3005" s="6" t="s">
        <v>1244</v>
      </c>
      <c r="G3005" s="7" t="str">
        <f aca="false">HYPERLINK(CONCATENATE("http://crfop.gdos.gov.pl/CRFOP/widok/viewuzytekekologiczny.jsf?fop=","PL.ZIPOP.1393.UE.1019032.808"),"(kliknij lub Ctrl+kliknij)")</f>
        <v>(kliknij lub Ctrl+kliknij)</v>
      </c>
      <c r="H3005" s="0" t="s">
        <v>998</v>
      </c>
    </row>
    <row r="3006" customFormat="false" ht="12.8" hidden="false" customHeight="false" outlineLevel="0" collapsed="false">
      <c r="A3006" s="1" t="s">
        <v>1192</v>
      </c>
      <c r="C3006" s="3" t="s">
        <v>1242</v>
      </c>
      <c r="D3006" s="4" t="s">
        <v>1343</v>
      </c>
      <c r="F3006" s="6" t="s">
        <v>1244</v>
      </c>
      <c r="G3006" s="7" t="str">
        <f aca="false">HYPERLINK(CONCATENATE("http://crfop.gdos.gov.pl/CRFOP/widok/viewuzytekekologiczny.jsf?fop=","PL.ZIPOP.1393.UE.1019032.809"),"(kliknij lub Ctrl+kliknij)")</f>
        <v>(kliknij lub Ctrl+kliknij)</v>
      </c>
      <c r="H3006" s="0" t="s">
        <v>998</v>
      </c>
    </row>
    <row r="3007" customFormat="false" ht="12.8" hidden="false" customHeight="false" outlineLevel="0" collapsed="false">
      <c r="A3007" s="1" t="s">
        <v>1192</v>
      </c>
      <c r="C3007" s="3" t="s">
        <v>467</v>
      </c>
      <c r="D3007" s="4" t="s">
        <v>1616</v>
      </c>
      <c r="F3007" s="6" t="s">
        <v>1374</v>
      </c>
      <c r="G3007" s="7" t="str">
        <f aca="false">HYPERLINK(CONCATENATE("http://crfop.gdos.gov.pl/CRFOP/widok/viewuzytekekologiczny.jsf?fop=","PL.ZIPOP.1393.UE.1019032.810"),"(kliknij lub Ctrl+kliknij)")</f>
        <v>(kliknij lub Ctrl+kliknij)</v>
      </c>
      <c r="H3007" s="0" t="s">
        <v>998</v>
      </c>
    </row>
    <row r="3008" customFormat="false" ht="69" hidden="false" customHeight="false" outlineLevel="0" collapsed="false">
      <c r="A3008" s="1" t="s">
        <v>1192</v>
      </c>
      <c r="C3008" s="3" t="s">
        <v>1242</v>
      </c>
      <c r="D3008" s="4" t="s">
        <v>1590</v>
      </c>
      <c r="F3008" s="10" t="s">
        <v>1244</v>
      </c>
      <c r="G3008" s="7" t="str">
        <f aca="false">HYPERLINK(CONCATENATE("http://crfop.gdos.gov.pl/CRFOP/widok/viewuzytekekologiczny.jsf?fop=","PL.ZIPOP.1393.UE.1019032.811"),"(kliknij lub Ctrl+kliknij)")</f>
        <v>(kliknij lub Ctrl+kliknij)</v>
      </c>
      <c r="H3008" s="0" t="s">
        <v>998</v>
      </c>
    </row>
    <row r="3009" customFormat="false" ht="125.55" hidden="false" customHeight="false" outlineLevel="0" collapsed="false">
      <c r="A3009" s="1" t="s">
        <v>1192</v>
      </c>
      <c r="C3009" s="3" t="s">
        <v>467</v>
      </c>
      <c r="D3009" s="4" t="s">
        <v>1617</v>
      </c>
      <c r="F3009" s="10" t="s">
        <v>1374</v>
      </c>
      <c r="G3009" s="7" t="str">
        <f aca="false">HYPERLINK(CONCATENATE("http://crfop.gdos.gov.pl/CRFOP/widok/viewuzytekekologiczny.jsf?fop=","PL.ZIPOP.1393.UE.1019042.806"),"(kliknij lub Ctrl+kliknij)")</f>
        <v>(kliknij lub Ctrl+kliknij)</v>
      </c>
      <c r="H3009" s="0" t="s">
        <v>990</v>
      </c>
    </row>
    <row r="3010" customFormat="false" ht="69" hidden="false" customHeight="false" outlineLevel="0" collapsed="false">
      <c r="A3010" s="1" t="s">
        <v>1192</v>
      </c>
      <c r="C3010" s="3" t="s">
        <v>1618</v>
      </c>
      <c r="D3010" s="4" t="s">
        <v>1619</v>
      </c>
      <c r="F3010" s="10" t="s">
        <v>1620</v>
      </c>
      <c r="G3010" s="7" t="str">
        <f aca="false">HYPERLINK(CONCATENATE("http://crfop.gdos.gov.pl/CRFOP/widok/viewuzytekekologiczny.jsf?fop=","PL.ZIPOP.1393.UE.1019042.807"),"(kliknij lub Ctrl+kliknij)")</f>
        <v>(kliknij lub Ctrl+kliknij)</v>
      </c>
      <c r="H3010" s="0" t="s">
        <v>990</v>
      </c>
    </row>
    <row r="3011" customFormat="false" ht="69" hidden="false" customHeight="false" outlineLevel="0" collapsed="false">
      <c r="A3011" s="1" t="s">
        <v>1192</v>
      </c>
      <c r="C3011" s="3" t="s">
        <v>471</v>
      </c>
      <c r="D3011" s="4" t="s">
        <v>1322</v>
      </c>
      <c r="F3011" s="10" t="s">
        <v>1312</v>
      </c>
      <c r="G3011" s="7" t="str">
        <f aca="false">HYPERLINK(CONCATENATE("http://crfop.gdos.gov.pl/CRFOP/widok/viewuzytekekologiczny.jsf?fop=","PL.ZIPOP.1393.UE.1020011.31"),"(kliknij lub Ctrl+kliknij)")</f>
        <v>(kliknij lub Ctrl+kliknij)</v>
      </c>
      <c r="H3011" s="0" t="s">
        <v>1003</v>
      </c>
    </row>
    <row r="3012" customFormat="false" ht="12.8" hidden="false" customHeight="false" outlineLevel="0" collapsed="false">
      <c r="A3012" s="1" t="s">
        <v>1192</v>
      </c>
      <c r="C3012" s="3" t="s">
        <v>471</v>
      </c>
      <c r="D3012" s="4" t="s">
        <v>1621</v>
      </c>
      <c r="F3012" s="6" t="s">
        <v>1312</v>
      </c>
      <c r="G3012" s="7" t="str">
        <f aca="false">HYPERLINK(CONCATENATE("http://crfop.gdos.gov.pl/CRFOP/widok/viewuzytekekologiczny.jsf?fop=","PL.ZIPOP.1393.UE.1020011.32"),"(kliknij lub Ctrl+kliknij)")</f>
        <v>(kliknij lub Ctrl+kliknij)</v>
      </c>
      <c r="H3012" s="0" t="s">
        <v>1003</v>
      </c>
    </row>
    <row r="3013" customFormat="false" ht="12.8" hidden="false" customHeight="false" outlineLevel="0" collapsed="false">
      <c r="A3013" s="1" t="s">
        <v>1192</v>
      </c>
      <c r="C3013" s="3" t="s">
        <v>471</v>
      </c>
      <c r="D3013" s="4" t="s">
        <v>1622</v>
      </c>
      <c r="F3013" s="6" t="s">
        <v>1312</v>
      </c>
      <c r="G3013" s="7" t="str">
        <f aca="false">HYPERLINK(CONCATENATE("http://crfop.gdos.gov.pl/CRFOP/widok/viewuzytekekologiczny.jsf?fop=","PL.ZIPOP.1393.UE.1020011.33"),"(kliknij lub Ctrl+kliknij)")</f>
        <v>(kliknij lub Ctrl+kliknij)</v>
      </c>
      <c r="H3013" s="0" t="s">
        <v>1003</v>
      </c>
    </row>
    <row r="3014" customFormat="false" ht="12.8" hidden="false" customHeight="false" outlineLevel="0" collapsed="false">
      <c r="A3014" s="1" t="s">
        <v>1192</v>
      </c>
      <c r="C3014" s="3" t="s">
        <v>471</v>
      </c>
      <c r="D3014" s="4" t="s">
        <v>1392</v>
      </c>
      <c r="F3014" s="6" t="s">
        <v>1312</v>
      </c>
      <c r="G3014" s="7" t="str">
        <f aca="false">HYPERLINK(CONCATENATE("http://crfop.gdos.gov.pl/CRFOP/widok/viewuzytekekologiczny.jsf?fop=","PL.ZIPOP.1393.UE.1020031.24"),"(kliknij lub Ctrl+kliknij)")</f>
        <v>(kliknij lub Ctrl+kliknij)</v>
      </c>
      <c r="H3014" s="0" t="s">
        <v>1053</v>
      </c>
    </row>
    <row r="3015" customFormat="false" ht="12.8" hidden="false" customHeight="false" outlineLevel="0" collapsed="false">
      <c r="A3015" s="1" t="s">
        <v>1192</v>
      </c>
      <c r="C3015" s="3" t="s">
        <v>471</v>
      </c>
      <c r="D3015" s="4" t="s">
        <v>1535</v>
      </c>
      <c r="F3015" s="6" t="s">
        <v>1312</v>
      </c>
      <c r="G3015" s="7" t="str">
        <f aca="false">HYPERLINK(CONCATENATE("http://crfop.gdos.gov.pl/CRFOP/widok/viewuzytekekologiczny.jsf?fop=","PL.ZIPOP.1393.UE.1020043.10"),"(kliknij lub Ctrl+kliknij)")</f>
        <v>(kliknij lub Ctrl+kliknij)</v>
      </c>
      <c r="H3015" s="0" t="s">
        <v>1028</v>
      </c>
    </row>
    <row r="3016" customFormat="false" ht="12.8" hidden="false" customHeight="false" outlineLevel="0" collapsed="false">
      <c r="A3016" s="1" t="s">
        <v>1192</v>
      </c>
      <c r="C3016" s="3" t="s">
        <v>471</v>
      </c>
      <c r="D3016" s="4" t="s">
        <v>1235</v>
      </c>
      <c r="F3016" s="6" t="s">
        <v>1312</v>
      </c>
      <c r="G3016" s="7" t="str">
        <f aca="false">HYPERLINK(CONCATENATE("http://crfop.gdos.gov.pl/CRFOP/widok/viewuzytekekologiczny.jsf?fop=","PL.ZIPOP.1393.UE.1020043.11"),"(kliknij lub Ctrl+kliknij)")</f>
        <v>(kliknij lub Ctrl+kliknij)</v>
      </c>
      <c r="H3016" s="0" t="s">
        <v>1028</v>
      </c>
    </row>
    <row r="3017" customFormat="false" ht="12.8" hidden="false" customHeight="false" outlineLevel="0" collapsed="false">
      <c r="A3017" s="1" t="s">
        <v>1192</v>
      </c>
      <c r="C3017" s="3" t="s">
        <v>471</v>
      </c>
      <c r="D3017" s="4" t="s">
        <v>1386</v>
      </c>
      <c r="F3017" s="6" t="s">
        <v>1312</v>
      </c>
      <c r="G3017" s="7" t="str">
        <f aca="false">HYPERLINK(CONCATENATE("http://crfop.gdos.gov.pl/CRFOP/widok/viewuzytekekologiczny.jsf?fop=","PL.ZIPOP.1393.UE.1020043.12"),"(kliknij lub Ctrl+kliknij)")</f>
        <v>(kliknij lub Ctrl+kliknij)</v>
      </c>
      <c r="H3017" s="0" t="s">
        <v>1028</v>
      </c>
    </row>
    <row r="3018" customFormat="false" ht="12.8" hidden="false" customHeight="false" outlineLevel="0" collapsed="false">
      <c r="A3018" s="1" t="s">
        <v>1192</v>
      </c>
      <c r="C3018" s="3" t="s">
        <v>471</v>
      </c>
      <c r="D3018" s="4" t="s">
        <v>1338</v>
      </c>
      <c r="F3018" s="6" t="s">
        <v>1312</v>
      </c>
      <c r="G3018" s="7" t="str">
        <f aca="false">HYPERLINK(CONCATENATE("http://crfop.gdos.gov.pl/CRFOP/widok/viewuzytekekologiczny.jsf?fop=","PL.ZIPOP.1393.UE.1020043.13"),"(kliknij lub Ctrl+kliknij)")</f>
        <v>(kliknij lub Ctrl+kliknij)</v>
      </c>
      <c r="H3018" s="0" t="s">
        <v>1028</v>
      </c>
    </row>
    <row r="3019" customFormat="false" ht="12.8" hidden="false" customHeight="false" outlineLevel="0" collapsed="false">
      <c r="A3019" s="1" t="s">
        <v>1192</v>
      </c>
      <c r="C3019" s="3" t="s">
        <v>471</v>
      </c>
      <c r="D3019" s="4" t="s">
        <v>1391</v>
      </c>
      <c r="F3019" s="6" t="s">
        <v>1312</v>
      </c>
      <c r="G3019" s="7" t="str">
        <f aca="false">HYPERLINK(CONCATENATE("http://crfop.gdos.gov.pl/CRFOP/widok/viewuzytekekologiczny.jsf?fop=","PL.ZIPOP.1393.UE.1020043.14"),"(kliknij lub Ctrl+kliknij)")</f>
        <v>(kliknij lub Ctrl+kliknij)</v>
      </c>
      <c r="H3019" s="0" t="s">
        <v>1028</v>
      </c>
    </row>
    <row r="3020" customFormat="false" ht="12.8" hidden="false" customHeight="false" outlineLevel="0" collapsed="false">
      <c r="A3020" s="1" t="s">
        <v>1192</v>
      </c>
      <c r="C3020" s="3" t="s">
        <v>471</v>
      </c>
      <c r="D3020" s="4" t="s">
        <v>1472</v>
      </c>
      <c r="F3020" s="6" t="s">
        <v>1312</v>
      </c>
      <c r="G3020" s="7" t="str">
        <f aca="false">HYPERLINK(CONCATENATE("http://crfop.gdos.gov.pl/CRFOP/widok/viewuzytekekologiczny.jsf?fop=","PL.ZIPOP.1393.UE.1020043.9"),"(kliknij lub Ctrl+kliknij)")</f>
        <v>(kliknij lub Ctrl+kliknij)</v>
      </c>
      <c r="H3020" s="0" t="s">
        <v>1028</v>
      </c>
    </row>
    <row r="3021" customFormat="false" ht="12.8" hidden="false" customHeight="false" outlineLevel="0" collapsed="false">
      <c r="A3021" s="1" t="s">
        <v>1192</v>
      </c>
      <c r="C3021" s="3" t="s">
        <v>471</v>
      </c>
      <c r="D3021" s="4" t="s">
        <v>1623</v>
      </c>
      <c r="F3021" s="6" t="s">
        <v>1312</v>
      </c>
      <c r="G3021" s="7" t="str">
        <f aca="false">HYPERLINK(CONCATENATE("http://crfop.gdos.gov.pl/CRFOP/widok/viewuzytekekologiczny.jsf?fop=","PL.ZIPOP.1393.UE.1020052.38"),"(kliknij lub Ctrl+kliknij)")</f>
        <v>(kliknij lub Ctrl+kliknij)</v>
      </c>
      <c r="H3021" s="0" t="s">
        <v>1003</v>
      </c>
    </row>
    <row r="3022" customFormat="false" ht="12.8" hidden="false" customHeight="false" outlineLevel="0" collapsed="false">
      <c r="A3022" s="1" t="s">
        <v>1192</v>
      </c>
      <c r="C3022" s="3" t="s">
        <v>471</v>
      </c>
      <c r="D3022" s="4" t="s">
        <v>1229</v>
      </c>
      <c r="F3022" s="6" t="s">
        <v>1312</v>
      </c>
      <c r="G3022" s="7" t="str">
        <f aca="false">HYPERLINK(CONCATENATE("http://crfop.gdos.gov.pl/CRFOP/widok/viewuzytekekologiczny.jsf?fop=","PL.ZIPOP.1393.UE.1020062.25"),"(kliknij lub Ctrl+kliknij)")</f>
        <v>(kliknij lub Ctrl+kliknij)</v>
      </c>
      <c r="H3022" s="0" t="s">
        <v>1004</v>
      </c>
    </row>
    <row r="3023" customFormat="false" ht="12.8" hidden="false" customHeight="false" outlineLevel="0" collapsed="false">
      <c r="A3023" s="1" t="s">
        <v>1192</v>
      </c>
      <c r="C3023" s="3" t="s">
        <v>471</v>
      </c>
      <c r="D3023" s="4" t="s">
        <v>1245</v>
      </c>
      <c r="F3023" s="6" t="s">
        <v>1312</v>
      </c>
      <c r="G3023" s="7" t="str">
        <f aca="false">HYPERLINK(CONCATENATE("http://crfop.gdos.gov.pl/CRFOP/widok/viewuzytekekologiczny.jsf?fop=","PL.ZIPOP.1393.UE.1020062.26"),"(kliknij lub Ctrl+kliknij)")</f>
        <v>(kliknij lub Ctrl+kliknij)</v>
      </c>
      <c r="H3023" s="0" t="s">
        <v>1004</v>
      </c>
    </row>
    <row r="3024" customFormat="false" ht="12.8" hidden="false" customHeight="false" outlineLevel="0" collapsed="false">
      <c r="A3024" s="1" t="s">
        <v>1192</v>
      </c>
      <c r="C3024" s="3" t="s">
        <v>471</v>
      </c>
      <c r="D3024" s="4" t="s">
        <v>1624</v>
      </c>
      <c r="F3024" s="6" t="s">
        <v>1312</v>
      </c>
      <c r="G3024" s="7" t="str">
        <f aca="false">HYPERLINK(CONCATENATE("http://crfop.gdos.gov.pl/CRFOP/widok/viewuzytekekologiczny.jsf?fop=","PL.ZIPOP.1393.UE.1020062.27"),"(kliknij lub Ctrl+kliknij)")</f>
        <v>(kliknij lub Ctrl+kliknij)</v>
      </c>
      <c r="H3024" s="0" t="s">
        <v>1004</v>
      </c>
    </row>
    <row r="3025" customFormat="false" ht="69" hidden="false" customHeight="false" outlineLevel="0" collapsed="false">
      <c r="A3025" s="1" t="s">
        <v>1192</v>
      </c>
      <c r="C3025" s="3" t="s">
        <v>471</v>
      </c>
      <c r="D3025" s="4" t="s">
        <v>1240</v>
      </c>
      <c r="F3025" s="10" t="s">
        <v>1312</v>
      </c>
      <c r="G3025" s="7" t="str">
        <f aca="false">HYPERLINK(CONCATENATE("http://crfop.gdos.gov.pl/CRFOP/widok/viewuzytekekologiczny.jsf?fop=","PL.ZIPOP.1393.UE.1020062.28"),"(kliknij lub Ctrl+kliknij)")</f>
        <v>(kliknij lub Ctrl+kliknij)</v>
      </c>
      <c r="H3025" s="0" t="s">
        <v>1004</v>
      </c>
    </row>
    <row r="3026" customFormat="false" ht="69" hidden="false" customHeight="false" outlineLevel="0" collapsed="false">
      <c r="A3026" s="1" t="s">
        <v>1192</v>
      </c>
      <c r="C3026" s="3" t="s">
        <v>471</v>
      </c>
      <c r="D3026" s="4" t="s">
        <v>1625</v>
      </c>
      <c r="F3026" s="10" t="s">
        <v>1312</v>
      </c>
      <c r="G3026" s="7" t="str">
        <f aca="false">HYPERLINK(CONCATENATE("http://crfop.gdos.gov.pl/CRFOP/widok/viewuzytekekologiczny.jsf?fop=","PL.ZIPOP.1393.UE.1020062.29"),"(kliknij lub Ctrl+kliknij)")</f>
        <v>(kliknij lub Ctrl+kliknij)</v>
      </c>
      <c r="H3026" s="0" t="s">
        <v>1004</v>
      </c>
    </row>
    <row r="3027" customFormat="false" ht="69" hidden="false" customHeight="false" outlineLevel="0" collapsed="false">
      <c r="A3027" s="1" t="s">
        <v>1192</v>
      </c>
      <c r="C3027" s="3" t="s">
        <v>471</v>
      </c>
      <c r="D3027" s="4" t="s">
        <v>1626</v>
      </c>
      <c r="F3027" s="10" t="s">
        <v>1312</v>
      </c>
      <c r="G3027" s="7" t="str">
        <f aca="false">HYPERLINK(CONCATENATE("http://crfop.gdos.gov.pl/CRFOP/widok/viewuzytekekologiczny.jsf?fop=","PL.ZIPOP.1393.UE.1020083.39"),"(kliknij lub Ctrl+kliknij)")</f>
        <v>(kliknij lub Ctrl+kliknij)</v>
      </c>
      <c r="H3027" s="0" t="s">
        <v>1038</v>
      </c>
    </row>
    <row r="3028" customFormat="false" ht="12.8" hidden="false" customHeight="false" outlineLevel="0" collapsed="false">
      <c r="A3028" s="1" t="s">
        <v>1192</v>
      </c>
      <c r="C3028" s="3" t="s">
        <v>471</v>
      </c>
      <c r="D3028" s="4" t="s">
        <v>1627</v>
      </c>
      <c r="F3028" s="6" t="s">
        <v>1312</v>
      </c>
      <c r="G3028" s="7" t="str">
        <f aca="false">HYPERLINK(CONCATENATE("http://crfop.gdos.gov.pl/CRFOP/widok/viewuzytekekologiczny.jsf?fop=","PL.ZIPOP.1393.UE.1020083.41"),"(kliknij lub Ctrl+kliknij)")</f>
        <v>(kliknij lub Ctrl+kliknij)</v>
      </c>
      <c r="H3028" s="0" t="s">
        <v>1038</v>
      </c>
    </row>
    <row r="3029" customFormat="false" ht="69" hidden="false" customHeight="false" outlineLevel="0" collapsed="false">
      <c r="A3029" s="1" t="s">
        <v>1192</v>
      </c>
      <c r="C3029" s="3" t="s">
        <v>471</v>
      </c>
      <c r="D3029" s="4" t="s">
        <v>1272</v>
      </c>
      <c r="F3029" s="10" t="s">
        <v>1312</v>
      </c>
      <c r="G3029" s="7" t="str">
        <f aca="false">HYPERLINK(CONCATENATE("http://crfop.gdos.gov.pl/CRFOP/widok/viewuzytekekologiczny.jsf?fop=","PL.ZIPOP.1393.UE.1020092.17"),"(kliknij lub Ctrl+kliknij)")</f>
        <v>(kliknij lub Ctrl+kliknij)</v>
      </c>
      <c r="H3029" s="0" t="s">
        <v>1053</v>
      </c>
    </row>
    <row r="3030" customFormat="false" ht="69" hidden="false" customHeight="false" outlineLevel="0" collapsed="false">
      <c r="A3030" s="1" t="s">
        <v>1192</v>
      </c>
      <c r="C3030" s="3" t="s">
        <v>471</v>
      </c>
      <c r="D3030" s="4" t="s">
        <v>1215</v>
      </c>
      <c r="F3030" s="10" t="s">
        <v>1312</v>
      </c>
      <c r="G3030" s="7" t="str">
        <f aca="false">HYPERLINK(CONCATENATE("http://crfop.gdos.gov.pl/CRFOP/widok/viewuzytekekologiczny.jsf?fop=","PL.ZIPOP.1393.UE.1020092.18"),"(kliknij lub Ctrl+kliknij)")</f>
        <v>(kliknij lub Ctrl+kliknij)</v>
      </c>
      <c r="H3030" s="0" t="s">
        <v>1053</v>
      </c>
    </row>
    <row r="3031" customFormat="false" ht="69" hidden="false" customHeight="false" outlineLevel="0" collapsed="false">
      <c r="A3031" s="1" t="s">
        <v>1192</v>
      </c>
      <c r="C3031" s="3" t="s">
        <v>471</v>
      </c>
      <c r="D3031" s="4" t="s">
        <v>1318</v>
      </c>
      <c r="F3031" s="10" t="s">
        <v>1312</v>
      </c>
      <c r="G3031" s="7" t="str">
        <f aca="false">HYPERLINK(CONCATENATE("http://crfop.gdos.gov.pl/CRFOP/widok/viewuzytekekologiczny.jsf?fop=","PL.ZIPOP.1393.UE.1020092.19"),"(kliknij lub Ctrl+kliknij)")</f>
        <v>(kliknij lub Ctrl+kliknij)</v>
      </c>
      <c r="H3031" s="0" t="s">
        <v>1053</v>
      </c>
    </row>
    <row r="3032" customFormat="false" ht="69" hidden="false" customHeight="false" outlineLevel="0" collapsed="false">
      <c r="A3032" s="1" t="s">
        <v>1192</v>
      </c>
      <c r="C3032" s="3" t="s">
        <v>471</v>
      </c>
      <c r="D3032" s="4" t="s">
        <v>1307</v>
      </c>
      <c r="F3032" s="10" t="s">
        <v>1312</v>
      </c>
      <c r="G3032" s="7" t="str">
        <f aca="false">HYPERLINK(CONCATENATE("http://crfop.gdos.gov.pl/CRFOP/widok/viewuzytekekologiczny.jsf?fop=","PL.ZIPOP.1393.UE.1020092.20"),"(kliknij lub Ctrl+kliknij)")</f>
        <v>(kliknij lub Ctrl+kliknij)</v>
      </c>
      <c r="H3032" s="0" t="s">
        <v>1053</v>
      </c>
    </row>
    <row r="3033" customFormat="false" ht="69" hidden="false" customHeight="false" outlineLevel="0" collapsed="false">
      <c r="A3033" s="1" t="s">
        <v>1192</v>
      </c>
      <c r="C3033" s="3" t="s">
        <v>471</v>
      </c>
      <c r="D3033" s="4" t="s">
        <v>1203</v>
      </c>
      <c r="F3033" s="10" t="s">
        <v>1312</v>
      </c>
      <c r="G3033" s="7" t="str">
        <f aca="false">HYPERLINK(CONCATENATE("http://crfop.gdos.gov.pl/CRFOP/widok/viewuzytekekologiczny.jsf?fop=","PL.ZIPOP.1393.UE.1020092.21"),"(kliknij lub Ctrl+kliknij)")</f>
        <v>(kliknij lub Ctrl+kliknij)</v>
      </c>
      <c r="H3033" s="0" t="s">
        <v>1053</v>
      </c>
    </row>
    <row r="3034" customFormat="false" ht="12.8" hidden="false" customHeight="false" outlineLevel="0" collapsed="false">
      <c r="A3034" s="1" t="s">
        <v>1192</v>
      </c>
      <c r="C3034" s="3" t="s">
        <v>471</v>
      </c>
      <c r="D3034" s="4" t="s">
        <v>1240</v>
      </c>
      <c r="F3034" s="6" t="s">
        <v>1312</v>
      </c>
      <c r="G3034" s="7" t="str">
        <f aca="false">HYPERLINK(CONCATENATE("http://crfop.gdos.gov.pl/CRFOP/widok/viewuzytekekologiczny.jsf?fop=","PL.ZIPOP.1393.UE.1020092.22"),"(kliknij lub Ctrl+kliknij)")</f>
        <v>(kliknij lub Ctrl+kliknij)</v>
      </c>
      <c r="H3034" s="0" t="s">
        <v>1053</v>
      </c>
    </row>
    <row r="3035" customFormat="false" ht="12.8" hidden="false" customHeight="false" outlineLevel="0" collapsed="false">
      <c r="A3035" s="1" t="s">
        <v>1192</v>
      </c>
      <c r="C3035" s="3" t="s">
        <v>471</v>
      </c>
      <c r="D3035" s="4" t="s">
        <v>1343</v>
      </c>
      <c r="F3035" s="6" t="s">
        <v>1312</v>
      </c>
      <c r="G3035" s="7" t="str">
        <f aca="false">HYPERLINK(CONCATENATE("http://crfop.gdos.gov.pl/CRFOP/widok/viewuzytekekologiczny.jsf?fop=","PL.ZIPOP.1393.UE.1020092.23"),"(kliknij lub Ctrl+kliknij)")</f>
        <v>(kliknij lub Ctrl+kliknij)</v>
      </c>
      <c r="H3035" s="0" t="s">
        <v>1053</v>
      </c>
    </row>
    <row r="3036" customFormat="false" ht="91.65" hidden="false" customHeight="false" outlineLevel="0" collapsed="false">
      <c r="A3036" s="1" t="s">
        <v>1192</v>
      </c>
      <c r="B3036" s="2" t="s">
        <v>1628</v>
      </c>
      <c r="C3036" s="3" t="s">
        <v>518</v>
      </c>
      <c r="D3036" s="4" t="s">
        <v>1629</v>
      </c>
      <c r="F3036" s="10" t="s">
        <v>1630</v>
      </c>
      <c r="G3036" s="7" t="str">
        <f aca="false">HYPERLINK(CONCATENATE("http://crfop.gdos.gov.pl/CRFOP/widok/viewuzytekekologiczny.jsf?fop=","PL.ZIPOP.1393.UE.1061011.851"),"(kliknij lub Ctrl+kliknij)")</f>
        <v>(kliknij lub Ctrl+kliknij)</v>
      </c>
      <c r="H3036" s="0" t="s">
        <v>1075</v>
      </c>
    </row>
    <row r="3037" customFormat="false" ht="12.8" hidden="false" customHeight="false" outlineLevel="0" collapsed="false">
      <c r="A3037" s="1" t="s">
        <v>1192</v>
      </c>
      <c r="B3037" s="2" t="s">
        <v>1631</v>
      </c>
      <c r="C3037" s="3" t="s">
        <v>518</v>
      </c>
      <c r="D3037" s="4" t="s">
        <v>1632</v>
      </c>
      <c r="F3037" s="6" t="s">
        <v>1633</v>
      </c>
      <c r="G3037" s="7" t="str">
        <f aca="false">HYPERLINK(CONCATENATE("http://crfop.gdos.gov.pl/CRFOP/widok/viewuzytekekologiczny.jsf?fop=","PL.ZIPOP.1393.UE.1061011.852"),"(kliknij lub Ctrl+kliknij)")</f>
        <v>(kliknij lub Ctrl+kliknij)</v>
      </c>
      <c r="H3037" s="0" t="s">
        <v>1075</v>
      </c>
    </row>
    <row r="3038" customFormat="false" ht="12.8" hidden="false" customHeight="false" outlineLevel="0" collapsed="false">
      <c r="A3038" s="1" t="s">
        <v>1192</v>
      </c>
      <c r="B3038" s="2" t="s">
        <v>1634</v>
      </c>
      <c r="C3038" s="3" t="s">
        <v>518</v>
      </c>
      <c r="D3038" s="4" t="s">
        <v>1635</v>
      </c>
      <c r="F3038" s="6" t="s">
        <v>1636</v>
      </c>
      <c r="G3038" s="7" t="str">
        <f aca="false">HYPERLINK(CONCATENATE("http://crfop.gdos.gov.pl/CRFOP/widok/viewuzytekekologiczny.jsf?fop=","PL.ZIPOP.1393.UE.1061011.853"),"(kliknij lub Ctrl+kliknij)")</f>
        <v>(kliknij lub Ctrl+kliknij)</v>
      </c>
      <c r="H3038" s="0" t="s">
        <v>1075</v>
      </c>
    </row>
    <row r="3039" customFormat="false" ht="12.8" hidden="false" customHeight="false" outlineLevel="0" collapsed="false">
      <c r="A3039" s="1" t="s">
        <v>1192</v>
      </c>
      <c r="B3039" s="2" t="s">
        <v>1637</v>
      </c>
      <c r="C3039" s="3" t="s">
        <v>518</v>
      </c>
      <c r="D3039" s="4" t="s">
        <v>1638</v>
      </c>
      <c r="F3039" s="6" t="s">
        <v>1639</v>
      </c>
      <c r="G3039" s="7" t="str">
        <f aca="false">HYPERLINK(CONCATENATE("http://crfop.gdos.gov.pl/CRFOP/widok/viewuzytekekologiczny.jsf?fop=","PL.ZIPOP.1393.UE.1061011.854"),"(kliknij lub Ctrl+kliknij)")</f>
        <v>(kliknij lub Ctrl+kliknij)</v>
      </c>
      <c r="H3039" s="0" t="s">
        <v>1075</v>
      </c>
    </row>
    <row r="3040" customFormat="false" ht="12.8" hidden="false" customHeight="false" outlineLevel="0" collapsed="false">
      <c r="A3040" s="1" t="s">
        <v>1192</v>
      </c>
      <c r="B3040" s="2" t="s">
        <v>1640</v>
      </c>
      <c r="C3040" s="3" t="s">
        <v>518</v>
      </c>
      <c r="D3040" s="4" t="s">
        <v>1213</v>
      </c>
      <c r="F3040" s="6" t="s">
        <v>1641</v>
      </c>
      <c r="G3040" s="7" t="str">
        <f aca="false">HYPERLINK(CONCATENATE("http://crfop.gdos.gov.pl/CRFOP/widok/viewuzytekekologiczny.jsf?fop=","PL.ZIPOP.1393.UE.1061011.855"),"(kliknij lub Ctrl+kliknij)")</f>
        <v>(kliknij lub Ctrl+kliknij)</v>
      </c>
      <c r="H3040" s="0" t="s">
        <v>1075</v>
      </c>
    </row>
    <row r="3041" customFormat="false" ht="12.8" hidden="false" customHeight="false" outlineLevel="0" collapsed="false">
      <c r="A3041" s="1" t="s">
        <v>1192</v>
      </c>
      <c r="B3041" s="2" t="s">
        <v>1642</v>
      </c>
      <c r="C3041" s="3" t="s">
        <v>518</v>
      </c>
      <c r="D3041" s="4" t="s">
        <v>1643</v>
      </c>
      <c r="F3041" s="6" t="s">
        <v>1644</v>
      </c>
      <c r="G3041" s="7" t="str">
        <f aca="false">HYPERLINK(CONCATENATE("http://crfop.gdos.gov.pl/CRFOP/widok/viewuzytekekologiczny.jsf?fop=","PL.ZIPOP.1393.UE.1061011.856"),"(kliknij lub Ctrl+kliknij)")</f>
        <v>(kliknij lub Ctrl+kliknij)</v>
      </c>
      <c r="H3041" s="0" t="s">
        <v>1075</v>
      </c>
    </row>
    <row r="3042" customFormat="false" ht="12.8" hidden="false" customHeight="false" outlineLevel="0" collapsed="false">
      <c r="A3042" s="1" t="s">
        <v>1192</v>
      </c>
      <c r="B3042" s="2" t="s">
        <v>1645</v>
      </c>
      <c r="C3042" s="3" t="s">
        <v>518</v>
      </c>
      <c r="D3042" s="4" t="s">
        <v>1646</v>
      </c>
      <c r="F3042" s="6" t="s">
        <v>1647</v>
      </c>
      <c r="G3042" s="7" t="str">
        <f aca="false">HYPERLINK(CONCATENATE("http://crfop.gdos.gov.pl/CRFOP/widok/viewuzytekekologiczny.jsf?fop=","PL.ZIPOP.1393.UE.1061011.857"),"(kliknij lub Ctrl+kliknij)")</f>
        <v>(kliknij lub Ctrl+kliknij)</v>
      </c>
      <c r="H3042" s="0" t="s">
        <v>1075</v>
      </c>
    </row>
    <row r="3043" customFormat="false" ht="12.8" hidden="false" customHeight="false" outlineLevel="0" collapsed="false">
      <c r="A3043" s="1" t="s">
        <v>1192</v>
      </c>
      <c r="B3043" s="2" t="s">
        <v>1648</v>
      </c>
      <c r="C3043" s="3" t="s">
        <v>518</v>
      </c>
      <c r="D3043" s="4" t="s">
        <v>1280</v>
      </c>
      <c r="F3043" s="6" t="s">
        <v>1649</v>
      </c>
      <c r="G3043" s="7" t="str">
        <f aca="false">HYPERLINK(CONCATENATE("http://crfop.gdos.gov.pl/CRFOP/widok/viewuzytekekologiczny.jsf?fop=","PL.ZIPOP.1393.UE.1061011.858"),"(kliknij lub Ctrl+kliknij)")</f>
        <v>(kliknij lub Ctrl+kliknij)</v>
      </c>
      <c r="H3043" s="0" t="s">
        <v>1075</v>
      </c>
    </row>
    <row r="3044" customFormat="false" ht="12.8" hidden="false" customHeight="false" outlineLevel="0" collapsed="false">
      <c r="A3044" s="1" t="s">
        <v>1192</v>
      </c>
      <c r="B3044" s="2" t="s">
        <v>1650</v>
      </c>
      <c r="C3044" s="3" t="s">
        <v>1088</v>
      </c>
      <c r="D3044" s="4" t="s">
        <v>1651</v>
      </c>
      <c r="F3044" s="6" t="s">
        <v>1652</v>
      </c>
      <c r="G3044" s="7" t="str">
        <f aca="false">HYPERLINK(CONCATENATE("http://crfop.gdos.gov.pl/CRFOP/widok/viewuzytekekologiczny.jsf?fop=","PL.ZIPOP.1393.UE.1061011.859"),"(kliknij lub Ctrl+kliknij)")</f>
        <v>(kliknij lub Ctrl+kliknij)</v>
      </c>
      <c r="H3044" s="0" t="s">
        <v>1075</v>
      </c>
    </row>
    <row r="3045" customFormat="false" ht="12.8" hidden="false" customHeight="false" outlineLevel="0" collapsed="false">
      <c r="A3045" s="1" t="s">
        <v>1192</v>
      </c>
      <c r="B3045" s="2" t="s">
        <v>1653</v>
      </c>
      <c r="C3045" s="3" t="s">
        <v>505</v>
      </c>
      <c r="D3045" s="4" t="s">
        <v>1654</v>
      </c>
      <c r="F3045" s="6" t="s">
        <v>1655</v>
      </c>
      <c r="G3045" s="7" t="str">
        <f aca="false">HYPERLINK(CONCATENATE("http://crfop.gdos.gov.pl/CRFOP/widok/viewuzytekekologiczny.jsf?fop=","PL.ZIPOP.1393.UE.1061011.860"),"(kliknij lub Ctrl+kliknij)")</f>
        <v>(kliknij lub Ctrl+kliknij)</v>
      </c>
      <c r="H3045" s="0" t="s">
        <v>1075</v>
      </c>
    </row>
    <row r="3046" customFormat="false" ht="12.8" hidden="false" customHeight="false" outlineLevel="0" collapsed="false">
      <c r="A3046" s="1" t="s">
        <v>1192</v>
      </c>
      <c r="B3046" s="2" t="s">
        <v>1656</v>
      </c>
      <c r="C3046" s="3" t="s">
        <v>505</v>
      </c>
      <c r="D3046" s="4" t="s">
        <v>1657</v>
      </c>
      <c r="F3046" s="6" t="s">
        <v>1658</v>
      </c>
      <c r="G3046" s="7" t="str">
        <f aca="false">HYPERLINK(CONCATENATE("http://crfop.gdos.gov.pl/CRFOP/widok/viewuzytekekologiczny.jsf?fop=","PL.ZIPOP.1393.UE.1061011.861"),"(kliknij lub Ctrl+kliknij)")</f>
        <v>(kliknij lub Ctrl+kliknij)</v>
      </c>
      <c r="H3046" s="0" t="s">
        <v>1075</v>
      </c>
    </row>
    <row r="3047" customFormat="false" ht="80.35" hidden="false" customHeight="false" outlineLevel="0" collapsed="false">
      <c r="A3047" s="1" t="s">
        <v>1192</v>
      </c>
      <c r="B3047" s="2" t="s">
        <v>1659</v>
      </c>
      <c r="C3047" s="3" t="s">
        <v>505</v>
      </c>
      <c r="D3047" s="4" t="s">
        <v>1660</v>
      </c>
      <c r="F3047" s="10" t="s">
        <v>1661</v>
      </c>
      <c r="G3047" s="7" t="str">
        <f aca="false">HYPERLINK(CONCATENATE("http://crfop.gdos.gov.pl/CRFOP/widok/viewuzytekekologiczny.jsf?fop=","PL.ZIPOP.1393.UE.1061011.862"),"(kliknij lub Ctrl+kliknij)")</f>
        <v>(kliknij lub Ctrl+kliknij)</v>
      </c>
      <c r="H3047" s="0" t="s">
        <v>1075</v>
      </c>
    </row>
    <row r="3048" customFormat="false" ht="80.35" hidden="false" customHeight="false" outlineLevel="0" collapsed="false">
      <c r="A3048" s="1" t="s">
        <v>1192</v>
      </c>
      <c r="B3048" s="2" t="s">
        <v>1662</v>
      </c>
      <c r="C3048" s="3" t="s">
        <v>505</v>
      </c>
      <c r="D3048" s="4" t="s">
        <v>1663</v>
      </c>
      <c r="F3048" s="10" t="s">
        <v>1664</v>
      </c>
      <c r="G3048" s="7" t="str">
        <f aca="false">HYPERLINK(CONCATENATE("http://crfop.gdos.gov.pl/CRFOP/widok/viewuzytekekologiczny.jsf?fop=","PL.ZIPOP.1393.UE.1061011.863"),"(kliknij lub Ctrl+kliknij)")</f>
        <v>(kliknij lub Ctrl+kliknij)</v>
      </c>
      <c r="H3048" s="0" t="s">
        <v>1075</v>
      </c>
    </row>
    <row r="3049" customFormat="false" ht="80.35" hidden="false" customHeight="false" outlineLevel="0" collapsed="false">
      <c r="A3049" s="1" t="s">
        <v>1192</v>
      </c>
      <c r="B3049" s="2" t="s">
        <v>1665</v>
      </c>
      <c r="C3049" s="3" t="s">
        <v>505</v>
      </c>
      <c r="D3049" s="4" t="s">
        <v>1666</v>
      </c>
      <c r="F3049" s="10" t="s">
        <v>1667</v>
      </c>
      <c r="G3049" s="7" t="str">
        <f aca="false">HYPERLINK(CONCATENATE("http://crfop.gdos.gov.pl/CRFOP/widok/viewuzytekekologiczny.jsf?fop=","PL.ZIPOP.1393.UE.1061011.864"),"(kliknij lub Ctrl+kliknij)")</f>
        <v>(kliknij lub Ctrl+kliknij)</v>
      </c>
      <c r="H3049" s="0" t="s">
        <v>1075</v>
      </c>
    </row>
    <row r="3050" customFormat="false" ht="12.8" hidden="false" customHeight="false" outlineLevel="0" collapsed="false">
      <c r="A3050" s="1" t="s">
        <v>1192</v>
      </c>
      <c r="B3050" s="2" t="s">
        <v>1668</v>
      </c>
      <c r="C3050" s="3" t="s">
        <v>1669</v>
      </c>
      <c r="D3050" s="4" t="s">
        <v>1272</v>
      </c>
      <c r="F3050" s="6" t="s">
        <v>1670</v>
      </c>
      <c r="G3050" s="7" t="str">
        <f aca="false">HYPERLINK(CONCATENATE("http://crfop.gdos.gov.pl/CRFOP/widok/viewuzytekekologiczny.jsf?fop=","PL.ZIPOP.1393.UE.1061011.865"),"(kliknij lub Ctrl+kliknij)")</f>
        <v>(kliknij lub Ctrl+kliknij)</v>
      </c>
      <c r="H3050" s="0" t="s">
        <v>1075</v>
      </c>
    </row>
    <row r="3051" customFormat="false" ht="125.55" hidden="false" customHeight="false" outlineLevel="0" collapsed="false">
      <c r="A3051" s="1" t="s">
        <v>1192</v>
      </c>
      <c r="C3051" s="3" t="s">
        <v>399</v>
      </c>
      <c r="D3051" s="4" t="s">
        <v>1205</v>
      </c>
      <c r="F3051" s="10" t="s">
        <v>1417</v>
      </c>
      <c r="G3051" s="7" t="str">
        <f aca="false">HYPERLINK(CONCATENATE("http://crfop.gdos.gov.pl/CRFOP/widok/viewuzytekekologiczny.jsf?fop=","PL.ZIPOP.1393.UE.1062011.281"),"(kliknij lub Ctrl+kliknij)")</f>
        <v>(kliknij lub Ctrl+kliknij)</v>
      </c>
      <c r="H3051" s="0" t="s">
        <v>1096</v>
      </c>
    </row>
    <row r="3052" customFormat="false" ht="125.55" hidden="false" customHeight="false" outlineLevel="0" collapsed="false">
      <c r="A3052" s="1" t="s">
        <v>1192</v>
      </c>
      <c r="C3052" s="3" t="s">
        <v>399</v>
      </c>
      <c r="D3052" s="4" t="s">
        <v>1318</v>
      </c>
      <c r="F3052" s="10" t="s">
        <v>1417</v>
      </c>
      <c r="G3052" s="7" t="str">
        <f aca="false">HYPERLINK(CONCATENATE("http://crfop.gdos.gov.pl/CRFOP/widok/viewuzytekekologiczny.jsf?fop=","PL.ZIPOP.1393.UE.1062011.282"),"(kliknij lub Ctrl+kliknij)")</f>
        <v>(kliknij lub Ctrl+kliknij)</v>
      </c>
      <c r="H3052" s="0" t="s">
        <v>1096</v>
      </c>
    </row>
    <row r="3053" customFormat="false" ht="12.8" hidden="false" customHeight="false" outlineLevel="0" collapsed="false">
      <c r="A3053" s="1" t="s">
        <v>1192</v>
      </c>
      <c r="C3053" s="3" t="s">
        <v>399</v>
      </c>
      <c r="D3053" s="4" t="s">
        <v>1536</v>
      </c>
      <c r="F3053" s="6" t="s">
        <v>1417</v>
      </c>
      <c r="G3053" s="7" t="str">
        <f aca="false">HYPERLINK(CONCATENATE("http://crfop.gdos.gov.pl/CRFOP/widok/viewuzytekekologiczny.jsf?fop=","PL.ZIPOP.1393.UE.1062011.283"),"(kliknij lub Ctrl+kliknij)")</f>
        <v>(kliknij lub Ctrl+kliknij)</v>
      </c>
      <c r="H3053" s="0" t="s">
        <v>1096</v>
      </c>
    </row>
    <row r="3054" customFormat="false" ht="12.8" hidden="false" customHeight="false" outlineLevel="0" collapsed="false">
      <c r="A3054" s="1" t="s">
        <v>1192</v>
      </c>
      <c r="C3054" s="3" t="s">
        <v>399</v>
      </c>
      <c r="D3054" s="4" t="s">
        <v>1428</v>
      </c>
      <c r="F3054" s="6" t="s">
        <v>1417</v>
      </c>
      <c r="G3054" s="7" t="str">
        <f aca="false">HYPERLINK(CONCATENATE("http://crfop.gdos.gov.pl/CRFOP/widok/viewuzytekekologiczny.jsf?fop=","PL.ZIPOP.1393.UE.1062011.284"),"(kliknij lub Ctrl+kliknij)")</f>
        <v>(kliknij lub Ctrl+kliknij)</v>
      </c>
      <c r="H3054" s="0" t="s">
        <v>1096</v>
      </c>
    </row>
    <row r="3055" customFormat="false" ht="125.55" hidden="false" customHeight="false" outlineLevel="0" collapsed="false">
      <c r="A3055" s="1" t="s">
        <v>1192</v>
      </c>
      <c r="C3055" s="3" t="s">
        <v>399</v>
      </c>
      <c r="D3055" s="4" t="s">
        <v>1400</v>
      </c>
      <c r="F3055" s="10" t="s">
        <v>1417</v>
      </c>
      <c r="G3055" s="7" t="str">
        <f aca="false">HYPERLINK(CONCATENATE("http://crfop.gdos.gov.pl/CRFOP/widok/viewuzytekekologiczny.jsf?fop=","PL.ZIPOP.1393.UE.1062011.285"),"(kliknij lub Ctrl+kliknij)")</f>
        <v>(kliknij lub Ctrl+kliknij)</v>
      </c>
      <c r="H3055" s="0" t="s">
        <v>1096</v>
      </c>
    </row>
    <row r="3056" customFormat="false" ht="12.8" hidden="false" customHeight="false" outlineLevel="0" collapsed="false">
      <c r="A3056" s="1" t="s">
        <v>1192</v>
      </c>
      <c r="C3056" s="3" t="s">
        <v>399</v>
      </c>
      <c r="D3056" s="4" t="s">
        <v>1201</v>
      </c>
      <c r="F3056" s="6" t="s">
        <v>1417</v>
      </c>
      <c r="G3056" s="7" t="str">
        <f aca="false">HYPERLINK(CONCATENATE("http://crfop.gdos.gov.pl/CRFOP/widok/viewuzytekekologiczny.jsf?fop=","PL.ZIPOP.1393.UE.1062011.286"),"(kliknij lub Ctrl+kliknij)")</f>
        <v>(kliknij lub Ctrl+kliknij)</v>
      </c>
      <c r="H3056" s="0" t="s">
        <v>1096</v>
      </c>
    </row>
    <row r="3057" customFormat="false" ht="12.8" hidden="false" customHeight="false" outlineLevel="0" collapsed="false">
      <c r="A3057" s="1" t="s">
        <v>1192</v>
      </c>
      <c r="C3057" s="3" t="s">
        <v>399</v>
      </c>
      <c r="D3057" s="4" t="s">
        <v>1413</v>
      </c>
      <c r="F3057" s="6" t="s">
        <v>1417</v>
      </c>
      <c r="G3057" s="7" t="str">
        <f aca="false">HYPERLINK(CONCATENATE("http://crfop.gdos.gov.pl/CRFOP/widok/viewuzytekekologiczny.jsf?fop=","PL.ZIPOP.1393.UE.1062011.287"),"(kliknij lub Ctrl+kliknij)")</f>
        <v>(kliknij lub Ctrl+kliknij)</v>
      </c>
      <c r="H3057" s="0" t="s">
        <v>1096</v>
      </c>
    </row>
    <row r="3058" customFormat="false" ht="69" hidden="false" customHeight="false" outlineLevel="0" collapsed="false">
      <c r="A3058" s="1" t="s">
        <v>1192</v>
      </c>
      <c r="C3058" s="3" t="s">
        <v>1193</v>
      </c>
      <c r="D3058" s="4" t="s">
        <v>1424</v>
      </c>
      <c r="F3058" s="10" t="s">
        <v>1195</v>
      </c>
      <c r="G3058" s="7" t="str">
        <f aca="false">HYPERLINK(CONCATENATE("http://crfop.gdos.gov.pl/CRFOP/widok/viewuzytekekologiczny.jsf?fop=","PL.ZIPOP.1393.UE.1062011.288"),"(kliknij lub Ctrl+kliknij)")</f>
        <v>(kliknij lub Ctrl+kliknij)</v>
      </c>
      <c r="H3058" s="0" t="s">
        <v>1096</v>
      </c>
    </row>
    <row r="3059" customFormat="false" ht="12.8" hidden="false" customHeight="false" outlineLevel="0" collapsed="false">
      <c r="A3059" s="1" t="s">
        <v>1192</v>
      </c>
      <c r="B3059" s="2" t="s">
        <v>1671</v>
      </c>
      <c r="C3059" s="3" t="s">
        <v>1672</v>
      </c>
      <c r="D3059" s="4" t="s">
        <v>1673</v>
      </c>
      <c r="F3059" s="6" t="s">
        <v>1674</v>
      </c>
      <c r="G3059" s="7" t="str">
        <f aca="false">HYPERLINK(CONCATENATE("http://crfop.gdos.gov.pl/CRFOP/widok/viewuzytekekologiczny.jsf?fop=","PL.ZIPOP.1393.UE.1062011.289"),"(kliknij lub Ctrl+kliknij)")</f>
        <v>(kliknij lub Ctrl+kliknij)</v>
      </c>
      <c r="H3059" s="0" t="s">
        <v>1096</v>
      </c>
    </row>
    <row r="3060" customFormat="false" ht="12.8" hidden="false" customHeight="false" outlineLevel="0" collapsed="false">
      <c r="A3060" s="1" t="s">
        <v>1192</v>
      </c>
      <c r="C3060" s="3" t="s">
        <v>1299</v>
      </c>
      <c r="D3060" s="4" t="s">
        <v>1435</v>
      </c>
      <c r="F3060" s="6" t="s">
        <v>1303</v>
      </c>
      <c r="G3060" s="7" t="str">
        <f aca="false">HYPERLINK(CONCATENATE("http://crfop.gdos.gov.pl/CRFOP/widok/viewuzytekekologiczny.jsf?fop=","PL.ZIPOP.1393.UE.1063011.170"),"(kliknij lub Ctrl+kliknij)")</f>
        <v>(kliknij lub Ctrl+kliknij)</v>
      </c>
      <c r="H3060" s="0" t="s">
        <v>895</v>
      </c>
    </row>
    <row r="3061" customFormat="false" ht="12.8" hidden="false" customHeight="false" outlineLevel="0" collapsed="false">
      <c r="A3061" s="1" t="s">
        <v>1192</v>
      </c>
      <c r="C3061" s="3" t="s">
        <v>574</v>
      </c>
      <c r="D3061" s="4" t="s">
        <v>1339</v>
      </c>
      <c r="F3061" s="6" t="s">
        <v>1675</v>
      </c>
      <c r="G3061" s="7" t="str">
        <f aca="false">HYPERLINK(CONCATENATE("http://crfop.gdos.gov.pl/CRFOP/widok/viewuzytekekologiczny.jsf?fop=","PL.ZIPOP.1393.UE.2613012.68"),"(kliknij lub Ctrl+kliknij)")</f>
        <v>(kliknij lub Ctrl+kliknij)</v>
      </c>
    </row>
    <row r="3062" customFormat="false" ht="12.8" hidden="false" customHeight="false" outlineLevel="0" collapsed="false">
      <c r="A3062" s="1" t="s">
        <v>1192</v>
      </c>
      <c r="B3062" s="2" t="s">
        <v>1676</v>
      </c>
      <c r="C3062" s="3" t="s">
        <v>1677</v>
      </c>
      <c r="D3062" s="4" t="s">
        <v>1678</v>
      </c>
      <c r="F3062" s="6" t="s">
        <v>1679</v>
      </c>
      <c r="G3062" s="7" t="str">
        <f aca="false">HYPERLINK(CONCATENATE("http://crfop.gdos.gov.pl/CRFOP/widok/viewuzytekekologiczny.jsf?fop=","PL.ZIPOP.1393.UE.3009043.18"),"(kliknij lub Ctrl+kliknij)")</f>
        <v>(kliknij lub Ctrl+kliknij)</v>
      </c>
    </row>
    <row r="3063" customFormat="false" ht="12.8" hidden="false" customHeight="false" outlineLevel="0" collapsed="false">
      <c r="A3063" s="1" t="s">
        <v>1192</v>
      </c>
      <c r="C3063" s="3" t="s">
        <v>1680</v>
      </c>
      <c r="D3063" s="4" t="s">
        <v>1205</v>
      </c>
      <c r="F3063" s="6" t="s">
        <v>1681</v>
      </c>
      <c r="G3063" s="7" t="str">
        <f aca="false">HYPERLINK(CONCATENATE("http://crfop.gdos.gov.pl/CRFOP/widok/viewuzytekekologiczny.jsf?fop=","PL.ZIPOP.1393.UE.1007012.893"),"(kliknij lub Ctrl+kliknij)")</f>
        <v>(kliknij lub Ctrl+kliknij)</v>
      </c>
      <c r="H3063" s="0" t="s">
        <v>251</v>
      </c>
    </row>
    <row r="3064" customFormat="false" ht="12.8" hidden="false" customHeight="false" outlineLevel="0" collapsed="false">
      <c r="A3064" s="1" t="s">
        <v>1192</v>
      </c>
      <c r="C3064" s="3" t="s">
        <v>1554</v>
      </c>
      <c r="D3064" s="4" t="s">
        <v>1343</v>
      </c>
      <c r="F3064" s="6" t="s">
        <v>1556</v>
      </c>
      <c r="G3064" s="7" t="str">
        <f aca="false">HYPERLINK(CONCATENATE("http://crfop.gdos.gov.pl/CRFOP/widok/viewuzytekekologiczny.jsf?fop=","PL.ZIPOP.1393.UE.1015012.894"),"(kliknij lub Ctrl+kliknij)")</f>
        <v>(kliknij lub Ctrl+kliknij)</v>
      </c>
      <c r="H3064" s="0" t="s">
        <v>869</v>
      </c>
    </row>
    <row r="3065" customFormat="false" ht="12.8" hidden="false" customHeight="false" outlineLevel="0" collapsed="false">
      <c r="A3065" s="1" t="s">
        <v>1192</v>
      </c>
      <c r="B3065" s="2" t="s">
        <v>1682</v>
      </c>
      <c r="C3065" s="3" t="s">
        <v>1683</v>
      </c>
      <c r="D3065" s="4" t="s">
        <v>1392</v>
      </c>
      <c r="F3065" s="6" t="s">
        <v>1684</v>
      </c>
      <c r="G3065" s="7" t="str">
        <f aca="false">HYPERLINK(CONCATENATE("http://crfop.gdos.gov.pl/CRFOP/widok/viewuzytekekologiczny.jsf?fop=","PL.ZIPOP.1393.UE.1007012.895"),"(kliknij lub Ctrl+kliknij)")</f>
        <v>(kliknij lub Ctrl+kliknij)</v>
      </c>
      <c r="H3065" s="0" t="s">
        <v>251</v>
      </c>
    </row>
    <row r="3066" customFormat="false" ht="12.8" hidden="false" customHeight="false" outlineLevel="0" collapsed="false">
      <c r="A3066" s="1" t="s">
        <v>1192</v>
      </c>
      <c r="B3066" s="2" t="s">
        <v>1685</v>
      </c>
      <c r="C3066" s="3" t="s">
        <v>1683</v>
      </c>
      <c r="D3066" s="4" t="s">
        <v>1337</v>
      </c>
      <c r="F3066" s="6" t="s">
        <v>1684</v>
      </c>
      <c r="G3066" s="7" t="str">
        <f aca="false">HYPERLINK(CONCATENATE("http://crfop.gdos.gov.pl/CRFOP/widok/viewuzytekekologiczny.jsf?fop=","PL.ZIPOP.1393.UE.1007012.896"),"(kliknij lub Ctrl+kliknij)")</f>
        <v>(kliknij lub Ctrl+kliknij)</v>
      </c>
      <c r="H3066" s="0" t="s">
        <v>251</v>
      </c>
    </row>
  </sheetData>
  <autoFilter ref="A1:H3066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242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2019-10-08T08:12:27Z</dcterms:created>
  <dc:creator>Tomasz Zadworny</dc:creator>
  <dc:description/>
  <dc:language>pl-PL</dc:language>
  <cp:lastModifiedBy/>
  <dcterms:modified xsi:type="dcterms:W3CDTF">2021-02-18T13:00:48Z</dcterms:modified>
  <cp:revision>17</cp:revision>
  <dc:subject/>
  <dc:title/>
</cp:coreProperties>
</file>